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08" activeTab="0"/>
  </bookViews>
  <sheets>
    <sheet name="AIDE" sheetId="1" r:id="rId1"/>
    <sheet name="NAV(V)" sheetId="2" r:id="rId2"/>
    <sheet name="CARB(V)" sheetId="3" r:id="rId3"/>
    <sheet name="PLN ALLER" sheetId="4" r:id="rId4"/>
    <sheet name="PLN RETOUR" sheetId="5" r:id="rId5"/>
    <sheet name="DEVIS DE MASSE ALLER" sheetId="6" r:id="rId6"/>
    <sheet name="DEVIS DE MASSE RETOUR" sheetId="7" r:id="rId7"/>
  </sheets>
  <definedNames>
    <definedName name="_xlnm.Print_Area" localSheetId="2">'CARB(V)'!$A$1:$T$42</definedName>
    <definedName name="_xlnm.Print_Area" localSheetId="1">'NAV(V)'!$A$1:$W$33</definedName>
    <definedName name="_xlnm.Print_Area" localSheetId="4">'PLN RETOUR'!$A$1:$AL$56</definedName>
    <definedName name="solver_adj">#REF!</definedName>
    <definedName name="solver_adj_1">#REF!</definedName>
    <definedName name="solver_cvg">0.001</definedName>
    <definedName name="solver_cvg_1">0.001</definedName>
    <definedName name="solver_drv">1</definedName>
    <definedName name="solver_drv_1">1</definedName>
    <definedName name="solver_est">1</definedName>
    <definedName name="solver_est_1">1</definedName>
    <definedName name="solver_itr">100</definedName>
    <definedName name="solver_itr_1">100</definedName>
    <definedName name="solver_lin">2</definedName>
    <definedName name="solver_lin_1">2</definedName>
    <definedName name="solver_neg">2</definedName>
    <definedName name="solver_neg_1">2</definedName>
    <definedName name="solver_num">0</definedName>
    <definedName name="solver_num_1">0</definedName>
    <definedName name="solver_nwt">1</definedName>
    <definedName name="solver_nwt_1">1</definedName>
    <definedName name="solver_opt">#REF!</definedName>
    <definedName name="solver_opt_1">#REF!</definedName>
    <definedName name="solver_pre">0.000001</definedName>
    <definedName name="solver_pre_1">0.000001</definedName>
    <definedName name="solver_scl">2</definedName>
    <definedName name="solver_scl_1">2</definedName>
    <definedName name="solver_sho">2</definedName>
    <definedName name="solver_sho_1">2</definedName>
    <definedName name="solver_tim">100</definedName>
    <definedName name="solver_tim_1">100</definedName>
    <definedName name="solver_tol">0.05</definedName>
    <definedName name="solver_tol_1">0.05</definedName>
    <definedName name="solver_typ">3</definedName>
    <definedName name="solver_typ_1">3</definedName>
    <definedName name="solver_val">0</definedName>
    <definedName name="solver_val_1">0</definedName>
    <definedName name="Excel_BuiltIn_Print_Area" localSheetId="3">'PLN ALLER'!$A$1:$AL$56</definedName>
  </definedNames>
  <calcPr fullCalcOnLoad="1"/>
</workbook>
</file>

<file path=xl/sharedStrings.xml><?xml version="1.0" encoding="utf-8"?>
<sst xmlns="http://schemas.openxmlformats.org/spreadsheetml/2006/main" count="583" uniqueCount="194">
  <si>
    <t>BLOC DEP</t>
  </si>
  <si>
    <t>CARBU BLOC</t>
  </si>
  <si>
    <t>ATIS</t>
  </si>
  <si>
    <t>Niveau  croisière</t>
  </si>
  <si>
    <t>BLOC ARR</t>
  </si>
  <si>
    <t>CARBU MINI</t>
  </si>
  <si>
    <t>Temps de montée</t>
  </si>
  <si>
    <t>NM</t>
  </si>
  <si>
    <t>PARAMETRES DE MONTEE</t>
  </si>
  <si>
    <t>CROISIERE</t>
  </si>
  <si>
    <t>PARAMETRES DE DESCENTE</t>
  </si>
  <si>
    <t>feuille gauche</t>
  </si>
  <si>
    <t>feuille droite</t>
  </si>
  <si>
    <t>Temps  Bloc</t>
  </si>
  <si>
    <t>Dispo Attente</t>
  </si>
  <si>
    <t>Dist montée</t>
  </si>
  <si>
    <t>mn</t>
  </si>
  <si>
    <t>NIVEAU</t>
  </si>
  <si>
    <t>TEMPS</t>
  </si>
  <si>
    <t>DISTANCE</t>
  </si>
  <si>
    <t>CONSO</t>
  </si>
  <si>
    <t>TAS</t>
  </si>
  <si>
    <t>conso</t>
  </si>
  <si>
    <t>L</t>
  </si>
  <si>
    <t>Autonomie</t>
  </si>
  <si>
    <t>MINI DEGT</t>
  </si>
  <si>
    <t>Temps  descente</t>
  </si>
  <si>
    <t>Temps degt</t>
  </si>
  <si>
    <t>Temps Att</t>
  </si>
  <si>
    <t>Dist descente</t>
  </si>
  <si>
    <t>FEUILLE GAUCHE</t>
  </si>
  <si>
    <t>FEUILLE DROITE</t>
  </si>
  <si>
    <t>Pro</t>
  </si>
  <si>
    <t>Vol av degt</t>
  </si>
  <si>
    <t>Heure du degt</t>
  </si>
  <si>
    <t>somme</t>
  </si>
  <si>
    <t>DIST</t>
  </si>
  <si>
    <t>Tot</t>
  </si>
  <si>
    <t xml:space="preserve"> RTE:</t>
  </si>
  <si>
    <t>ROUTE</t>
  </si>
  <si>
    <t>HEURE</t>
  </si>
  <si>
    <t>temps part</t>
  </si>
  <si>
    <t>PARTIEL</t>
  </si>
  <si>
    <t>TOTALE</t>
  </si>
  <si>
    <t>REST</t>
  </si>
  <si>
    <t>temps</t>
  </si>
  <si>
    <t>POSITION</t>
  </si>
  <si>
    <t>Est</t>
  </si>
  <si>
    <t>Réelle</t>
  </si>
  <si>
    <t>vitesse</t>
  </si>
  <si>
    <t>moy</t>
  </si>
  <si>
    <t>kt</t>
  </si>
  <si>
    <t>Part</t>
  </si>
  <si>
    <t>TC160</t>
  </si>
  <si>
    <t>Roulage</t>
  </si>
  <si>
    <t>Dep</t>
  </si>
  <si>
    <t>Carbu</t>
  </si>
  <si>
    <t>Arrivée</t>
  </si>
  <si>
    <t>VFR</t>
  </si>
  <si>
    <t>AR</t>
  </si>
  <si>
    <t>DEPART</t>
  </si>
  <si>
    <t>---------------&gt;</t>
  </si>
  <si>
    <t>DESTINATION</t>
  </si>
  <si>
    <t>----------------&gt;</t>
  </si>
  <si>
    <t>DEGAGEMENT</t>
  </si>
  <si>
    <t>FL</t>
  </si>
  <si>
    <t>FL proced</t>
  </si>
  <si>
    <t>Tps procéd</t>
  </si>
  <si>
    <t>effet Vent</t>
  </si>
  <si>
    <t>Temps</t>
  </si>
  <si>
    <t>Délestage</t>
  </si>
  <si>
    <t>Conso</t>
  </si>
  <si>
    <t>+</t>
  </si>
  <si>
    <t>Vent = 0</t>
  </si>
  <si>
    <t>-</t>
  </si>
  <si>
    <t>Vent</t>
  </si>
  <si>
    <t xml:space="preserve">              L</t>
  </si>
  <si>
    <t>Kt</t>
  </si>
  <si>
    <t>Qc Mini V=0</t>
  </si>
  <si>
    <t>Avec roulages + 45 mn à 45%</t>
  </si>
  <si>
    <t>Mini Degt</t>
  </si>
  <si>
    <t>Vent étape</t>
  </si>
  <si>
    <t>--&gt;</t>
  </si>
  <si>
    <t xml:space="preserve">                  L    </t>
  </si>
  <si>
    <t>&lt;------</t>
  </si>
  <si>
    <t>Vent degt</t>
  </si>
  <si>
    <t>CARBU  MINI</t>
  </si>
  <si>
    <t xml:space="preserve">   Corrigé du vent</t>
  </si>
  <si>
    <t xml:space="preserve">Kt     </t>
  </si>
  <si>
    <t>PLAN  DE  VOL</t>
  </si>
  <si>
    <t>FLIGHT  PLAN</t>
  </si>
  <si>
    <t>PRIORITE</t>
  </si>
  <si>
    <t xml:space="preserve">DESTINATAIRES </t>
  </si>
  <si>
    <t xml:space="preserve"> &lt;&lt;</t>
  </si>
  <si>
    <t>FF</t>
  </si>
  <si>
    <t>HEURE  DE  DEPOT</t>
  </si>
  <si>
    <t>EXPEDITEUR</t>
  </si>
  <si>
    <t>IDENTIFICATION  PRECISE  DU (DES)  DESTINATAIRE(S)  ET/OU  DE L' EXPEDITEUR</t>
  </si>
  <si>
    <t>TYPE  DE  MESSAGE</t>
  </si>
  <si>
    <t>IDENTIFICATION  DE  L' AERONEF</t>
  </si>
  <si>
    <t>REGLES  DE  VOL</t>
  </si>
  <si>
    <t>TYPE  DE  VOL</t>
  </si>
  <si>
    <t>( FPL</t>
  </si>
  <si>
    <t>F</t>
  </si>
  <si>
    <t>P</t>
  </si>
  <si>
    <t>J</t>
  </si>
  <si>
    <t>R</t>
  </si>
  <si>
    <t>G</t>
  </si>
  <si>
    <t>V</t>
  </si>
  <si>
    <t>NOMBRE</t>
  </si>
  <si>
    <t>TYPE  D' AERONEF</t>
  </si>
  <si>
    <t>CAT.  DE  TURBULENCE  DE  SILLAGE</t>
  </si>
  <si>
    <t>EQUIPEMENT et POSSIBILITES</t>
  </si>
  <si>
    <t>C172</t>
  </si>
  <si>
    <t>/</t>
  </si>
  <si>
    <t>S</t>
  </si>
  <si>
    <t>EMPLACEMENT  DE  DEPART</t>
  </si>
  <si>
    <t>C</t>
  </si>
  <si>
    <t>VITESSE  CROISIERE</t>
  </si>
  <si>
    <t>N0110</t>
  </si>
  <si>
    <t xml:space="preserve"> )&lt;&lt;</t>
  </si>
  <si>
    <t>DUREE  TOTALE  ESTIMEE</t>
  </si>
  <si>
    <t>16  AERODROME  DE  DESTINATION</t>
  </si>
  <si>
    <t>H</t>
  </si>
  <si>
    <t>AERODROME  DE  DEGAGEMENT</t>
  </si>
  <si>
    <t>2° AERODROME  DE  DEGAGEMENT</t>
  </si>
  <si>
    <t>RENSEIGNEMENTS  DIVERS</t>
  </si>
  <si>
    <r>
      <t xml:space="preserve"> OPR/PVT   DOT/</t>
    </r>
    <r>
      <rPr>
        <sz val="14"/>
        <rFont val="Arial"/>
        <family val="2"/>
      </rPr>
      <t xml:space="preserve"> </t>
    </r>
    <r>
      <rPr>
        <sz val="14"/>
        <color indexed="22"/>
        <rFont val="Arial"/>
        <family val="2"/>
      </rPr>
      <t>AAMMJJ</t>
    </r>
  </si>
  <si>
    <t>) &lt;&lt;</t>
  </si>
  <si>
    <t>RENSEIGNEMENTS  COMPLEMENTAIRES  (A  NE  PAS  TRANSMETTRE  DANS  LES  MESSAGES  DE  PLAN  DE  VOL  DEPOSE)</t>
  </si>
  <si>
    <t>AUTONOMIE</t>
  </si>
  <si>
    <t>PERSONNES  A  BORD</t>
  </si>
  <si>
    <t>RADIO  ET  BALISE  D' URGENCE</t>
  </si>
  <si>
    <t xml:space="preserve">   MIN.</t>
  </si>
  <si>
    <t xml:space="preserve">        UHF</t>
  </si>
  <si>
    <t xml:space="preserve">        VHF</t>
  </si>
  <si>
    <t xml:space="preserve">      RBDA</t>
  </si>
  <si>
    <t>E</t>
  </si>
  <si>
    <t>U</t>
  </si>
  <si>
    <t>EQUIPEMENT  DE  SURVIE</t>
  </si>
  <si>
    <t>GILETS  DE  SAUVETAGE</t>
  </si>
  <si>
    <t>POLAIRE</t>
  </si>
  <si>
    <t xml:space="preserve">    DESERT</t>
  </si>
  <si>
    <t>MARITIME</t>
  </si>
  <si>
    <t xml:space="preserve">    JUNGLE</t>
  </si>
  <si>
    <t xml:space="preserve">   LAMPES</t>
  </si>
  <si>
    <t xml:space="preserve">  FLUORES</t>
  </si>
  <si>
    <t xml:space="preserve">   /</t>
  </si>
  <si>
    <t>D</t>
  </si>
  <si>
    <t>M</t>
  </si>
  <si>
    <t>CANOTS</t>
  </si>
  <si>
    <t>CAPACITE</t>
  </si>
  <si>
    <t>COUVERTURE</t>
  </si>
  <si>
    <t>COULEUR</t>
  </si>
  <si>
    <t>COULEUR  ET  MARQUES  DE  L'AERONEF</t>
  </si>
  <si>
    <t>A</t>
  </si>
  <si>
    <t>BLANC  ET  MARRON</t>
  </si>
  <si>
    <t>REMARQUES</t>
  </si>
  <si>
    <t>N</t>
  </si>
  <si>
    <t>PILOTE  COMMANDANT  DE  BORD</t>
  </si>
  <si>
    <t>DEPOSE  PAR</t>
  </si>
  <si>
    <t>ESPACE  RESERVE  A  DES  FINS  SUPLEMENTAIRES</t>
  </si>
  <si>
    <t>DEVIS DE MASSE ET DE CENTRAGE</t>
  </si>
  <si>
    <t>TC160          F-PJRG</t>
  </si>
  <si>
    <t>VERSION 3 du 21/01/2016</t>
  </si>
  <si>
    <t>CG</t>
  </si>
  <si>
    <t>Masse</t>
  </si>
  <si>
    <t>CG TO</t>
  </si>
  <si>
    <t>CG ATT</t>
  </si>
  <si>
    <t>Bras levier</t>
  </si>
  <si>
    <t>Moment</t>
  </si>
  <si>
    <t>Masse max:</t>
  </si>
  <si>
    <t>(kg)</t>
  </si>
  <si>
    <t>(m)</t>
  </si>
  <si>
    <t>(kg.m)</t>
  </si>
  <si>
    <t>Masse à vide (A)</t>
  </si>
  <si>
    <t>Pax avant (B)</t>
  </si>
  <si>
    <t>Pax arrière (C)</t>
  </si>
  <si>
    <t>Bagages Maxi 40 Kg (D)</t>
  </si>
  <si>
    <t>ZFW = (A+B+C+D)</t>
  </si>
  <si>
    <t>Carburant AV max 90L</t>
  </si>
  <si>
    <t>Carburant AR  MAX 118L</t>
  </si>
  <si>
    <t xml:space="preserve">Masse totale en charge </t>
  </si>
  <si>
    <t>Démarrage, Taxi, Déc.(-4L)</t>
  </si>
  <si>
    <t>Masse au décollage max: 1050 kg</t>
  </si>
  <si>
    <t>Charge utile restante</t>
  </si>
  <si>
    <t>CG  DECOLLAGE</t>
  </si>
  <si>
    <t>Délestage (33 L/H à 65%) AV max 84L</t>
  </si>
  <si>
    <t>Délestage (33 L/H à 65%) AR max 111L</t>
  </si>
  <si>
    <t>Masse à l'atterrissage</t>
  </si>
  <si>
    <t>TRAJET:</t>
  </si>
  <si>
    <t>DATE:</t>
  </si>
  <si>
    <t>NOM CDB:</t>
  </si>
  <si>
    <t>SIGNATURE:</t>
  </si>
</sst>
</file>

<file path=xl/styles.xml><?xml version="1.0" encoding="utf-8"?>
<styleSheet xmlns="http://schemas.openxmlformats.org/spreadsheetml/2006/main">
  <numFmts count="17">
    <numFmt numFmtId="164" formatCode="GENERAL"/>
    <numFmt numFmtId="165" formatCode="0&quot; L&quot;"/>
    <numFmt numFmtId="166" formatCode="0&quot;mn&quot;"/>
    <numFmt numFmtId="167" formatCode="#,##0"/>
    <numFmt numFmtId="168" formatCode="H:MM"/>
    <numFmt numFmtId="169" formatCode="0&quot;NM&quot;"/>
    <numFmt numFmtId="170" formatCode="0"/>
    <numFmt numFmtId="171" formatCode="000\°"/>
    <numFmt numFmtId="172" formatCode="0.0"/>
    <numFmt numFmtId="173" formatCode="@"/>
    <numFmt numFmtId="174" formatCode="\00"/>
    <numFmt numFmtId="175" formatCode="0.00"/>
    <numFmt numFmtId="176" formatCode="0.000"/>
    <numFmt numFmtId="177" formatCode="#,##0&quot; L&quot;;[RED]\-#,##0&quot; L&quot;"/>
    <numFmt numFmtId="178" formatCode="#\ ##0&quot; L&quot;;[RED]\-#\ ##0&quot; L&quot;"/>
    <numFmt numFmtId="179" formatCode="DD\-MMM"/>
    <numFmt numFmtId="180" formatCode="DD/MM/YYYY"/>
  </numFmts>
  <fonts count="49">
    <font>
      <sz val="10"/>
      <name val="Arial"/>
      <family val="2"/>
    </font>
    <font>
      <sz val="12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4"/>
      <color indexed="10"/>
      <name val="Arial"/>
      <family val="2"/>
    </font>
    <font>
      <b/>
      <sz val="24"/>
      <color indexed="24"/>
      <name val="Arial"/>
      <family val="2"/>
    </font>
    <font>
      <sz val="11"/>
      <name val="Arial"/>
      <family val="2"/>
    </font>
    <font>
      <b/>
      <u val="single"/>
      <sz val="12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indexed="22"/>
      <name val="Arial"/>
      <family val="2"/>
    </font>
    <font>
      <sz val="6"/>
      <color indexed="8"/>
      <name val="Arial"/>
      <family val="2"/>
    </font>
    <font>
      <b/>
      <sz val="28"/>
      <name val="Arial"/>
      <family val="2"/>
    </font>
    <font>
      <sz val="22"/>
      <name val="Arial"/>
      <family val="2"/>
    </font>
    <font>
      <b/>
      <sz val="20"/>
      <name val="Arial"/>
      <family val="2"/>
    </font>
    <font>
      <b/>
      <sz val="12"/>
      <color indexed="16"/>
      <name val="Arial"/>
      <family val="2"/>
    </font>
    <font>
      <sz val="10"/>
      <color indexed="22"/>
      <name val="Arial"/>
      <family val="2"/>
    </font>
    <font>
      <b/>
      <sz val="18"/>
      <color indexed="9"/>
      <name val="Arial"/>
      <family val="2"/>
    </font>
    <font>
      <b/>
      <sz val="14"/>
      <color indexed="9"/>
      <name val="Arial"/>
      <family val="2"/>
    </font>
    <font>
      <sz val="18"/>
      <name val="Arial"/>
      <family val="2"/>
    </font>
    <font>
      <sz val="16"/>
      <name val="Arial"/>
      <family val="2"/>
    </font>
    <font>
      <sz val="14"/>
      <color indexed="55"/>
      <name val="Arial"/>
      <family val="2"/>
    </font>
    <font>
      <b/>
      <sz val="18"/>
      <name val="Arial"/>
      <family val="2"/>
    </font>
    <font>
      <b/>
      <sz val="14"/>
      <color indexed="48"/>
      <name val="Arial"/>
      <family val="2"/>
    </font>
    <font>
      <b/>
      <sz val="16"/>
      <color indexed="54"/>
      <name val="Arial"/>
      <family val="2"/>
    </font>
    <font>
      <sz val="14"/>
      <color indexed="48"/>
      <name val="Arial"/>
      <family val="2"/>
    </font>
    <font>
      <b/>
      <sz val="16"/>
      <name val="Arial"/>
      <family val="2"/>
    </font>
    <font>
      <b/>
      <sz val="18"/>
      <color indexed="8"/>
      <name val="Arial"/>
      <family val="2"/>
    </font>
    <font>
      <b/>
      <sz val="8"/>
      <name val="Arial"/>
      <family val="2"/>
    </font>
    <font>
      <sz val="18"/>
      <color indexed="48"/>
      <name val="Arial"/>
      <family val="2"/>
    </font>
    <font>
      <b/>
      <sz val="16"/>
      <color indexed="48"/>
      <name val="Arial"/>
      <family val="2"/>
    </font>
    <font>
      <b/>
      <sz val="14"/>
      <color indexed="23"/>
      <name val="Arial"/>
      <family val="2"/>
    </font>
    <font>
      <b/>
      <sz val="18"/>
      <color indexed="12"/>
      <name val="Arial"/>
      <family val="2"/>
    </font>
    <font>
      <b/>
      <sz val="20"/>
      <color indexed="57"/>
      <name val="Arial"/>
      <family val="2"/>
    </font>
    <font>
      <b/>
      <sz val="20"/>
      <color indexed="12"/>
      <name val="Arial"/>
      <family val="2"/>
    </font>
    <font>
      <b/>
      <sz val="16"/>
      <color indexed="10"/>
      <name val="Arial"/>
      <family val="2"/>
    </font>
    <font>
      <sz val="14"/>
      <color indexed="9"/>
      <name val="Arial"/>
      <family val="2"/>
    </font>
    <font>
      <b/>
      <sz val="18"/>
      <color indexed="10"/>
      <name val="Arial"/>
      <family val="2"/>
    </font>
    <font>
      <sz val="14"/>
      <color indexed="10"/>
      <name val="Arial"/>
      <family val="2"/>
    </font>
    <font>
      <b/>
      <sz val="20"/>
      <color indexed="10"/>
      <name val="Arial"/>
      <family val="2"/>
    </font>
    <font>
      <b/>
      <sz val="12"/>
      <color indexed="12"/>
      <name val="Arial"/>
      <family val="2"/>
    </font>
    <font>
      <sz val="10"/>
      <color indexed="10"/>
      <name val="Arial"/>
      <family val="2"/>
    </font>
    <font>
      <sz val="20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65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77">
    <xf numFmtId="164" fontId="0" fillId="0" borderId="0" xfId="0" applyAlignment="1">
      <alignment/>
    </xf>
    <xf numFmtId="164" fontId="0" fillId="0" borderId="0" xfId="0" applyAlignment="1" applyProtection="1">
      <alignment/>
      <protection/>
    </xf>
    <xf numFmtId="164" fontId="0" fillId="0" borderId="0" xfId="0" applyBorder="1" applyAlignment="1" applyProtection="1">
      <alignment/>
      <protection/>
    </xf>
    <xf numFmtId="164" fontId="0" fillId="0" borderId="0" xfId="0" applyAlignment="1" applyProtection="1">
      <alignment horizontal="center"/>
      <protection/>
    </xf>
    <xf numFmtId="164" fontId="0" fillId="0" borderId="1" xfId="0" applyFont="1" applyFill="1" applyBorder="1" applyAlignment="1" applyProtection="1">
      <alignment horizontal="center" vertical="center"/>
      <protection/>
    </xf>
    <xf numFmtId="164" fontId="0" fillId="0" borderId="2" xfId="0" applyFill="1" applyBorder="1" applyAlignment="1" applyProtection="1">
      <alignment horizontal="center" vertical="center"/>
      <protection/>
    </xf>
    <xf numFmtId="164" fontId="0" fillId="0" borderId="3" xfId="0" applyFill="1" applyBorder="1" applyAlignment="1" applyProtection="1">
      <alignment horizontal="center" vertical="center"/>
      <protection/>
    </xf>
    <xf numFmtId="164" fontId="0" fillId="0" borderId="4" xfId="0" applyFont="1" applyFill="1" applyBorder="1" applyAlignment="1" applyProtection="1">
      <alignment horizontal="center" vertical="center"/>
      <protection/>
    </xf>
    <xf numFmtId="165" fontId="1" fillId="2" borderId="4" xfId="0" applyNumberFormat="1" applyFont="1" applyFill="1" applyBorder="1" applyAlignment="1" applyProtection="1">
      <alignment horizontal="center" vertical="center"/>
      <protection locked="0"/>
    </xf>
    <xf numFmtId="164" fontId="0" fillId="0" borderId="4" xfId="0" applyFont="1" applyBorder="1" applyAlignment="1" applyProtection="1">
      <alignment horizontal="center" vertical="center"/>
      <protection/>
    </xf>
    <xf numFmtId="164" fontId="0" fillId="0" borderId="4" xfId="0" applyFont="1" applyFill="1" applyBorder="1" applyAlignment="1" applyProtection="1">
      <alignment horizontal="left" vertical="center"/>
      <protection/>
    </xf>
    <xf numFmtId="164" fontId="1" fillId="2" borderId="5" xfId="0" applyFont="1" applyFill="1" applyBorder="1" applyAlignment="1" applyProtection="1">
      <alignment horizontal="center" vertical="center"/>
      <protection locked="0"/>
    </xf>
    <xf numFmtId="164" fontId="0" fillId="0" borderId="6" xfId="0" applyBorder="1" applyAlignment="1" applyProtection="1">
      <alignment/>
      <protection/>
    </xf>
    <xf numFmtId="164" fontId="0" fillId="0" borderId="7" xfId="0" applyBorder="1" applyAlignment="1" applyProtection="1">
      <alignment/>
      <protection/>
    </xf>
    <xf numFmtId="164" fontId="0" fillId="0" borderId="8" xfId="0" applyBorder="1" applyAlignment="1" applyProtection="1">
      <alignment/>
      <protection/>
    </xf>
    <xf numFmtId="164" fontId="2" fillId="0" borderId="0" xfId="0" applyFont="1" applyBorder="1" applyAlignment="1" applyProtection="1">
      <alignment/>
      <protection/>
    </xf>
    <xf numFmtId="164" fontId="2" fillId="0" borderId="0" xfId="0" applyFont="1" applyBorder="1" applyAlignment="1" applyProtection="1">
      <alignment horizontal="center"/>
      <protection/>
    </xf>
    <xf numFmtId="164" fontId="2" fillId="0" borderId="0" xfId="0" applyFont="1" applyAlignment="1" applyProtection="1">
      <alignment/>
      <protection/>
    </xf>
    <xf numFmtId="164" fontId="0" fillId="0" borderId="9" xfId="0" applyFont="1" applyFill="1" applyBorder="1" applyAlignment="1" applyProtection="1">
      <alignment horizontal="center" vertical="center"/>
      <protection/>
    </xf>
    <xf numFmtId="164" fontId="0" fillId="0" borderId="10" xfId="0" applyFill="1" applyBorder="1" applyAlignment="1" applyProtection="1">
      <alignment horizontal="center" vertical="center"/>
      <protection/>
    </xf>
    <xf numFmtId="164" fontId="0" fillId="0" borderId="11" xfId="0" applyFill="1" applyBorder="1" applyAlignment="1" applyProtection="1">
      <alignment horizontal="center" vertical="center"/>
      <protection/>
    </xf>
    <xf numFmtId="164" fontId="0" fillId="0" borderId="12" xfId="0" applyFont="1" applyFill="1" applyBorder="1" applyAlignment="1" applyProtection="1">
      <alignment horizontal="center" vertical="center"/>
      <protection/>
    </xf>
    <xf numFmtId="165" fontId="1" fillId="0" borderId="12" xfId="0" applyNumberFormat="1" applyFont="1" applyFill="1" applyBorder="1" applyAlignment="1" applyProtection="1">
      <alignment horizontal="center" vertical="center"/>
      <protection/>
    </xf>
    <xf numFmtId="164" fontId="0" fillId="0" borderId="13" xfId="0" applyBorder="1" applyAlignment="1" applyProtection="1">
      <alignment horizontal="left" vertical="center"/>
      <protection/>
    </xf>
    <xf numFmtId="166" fontId="1" fillId="0" borderId="14" xfId="0" applyNumberFormat="1" applyFont="1" applyFill="1" applyBorder="1" applyAlignment="1" applyProtection="1">
      <alignment horizontal="center" vertical="center"/>
      <protection/>
    </xf>
    <xf numFmtId="167" fontId="2" fillId="0" borderId="0" xfId="0" applyNumberFormat="1" applyFont="1" applyBorder="1" applyAlignment="1" applyProtection="1">
      <alignment/>
      <protection/>
    </xf>
    <xf numFmtId="164" fontId="3" fillId="0" borderId="0" xfId="0" applyFont="1" applyAlignment="1" applyProtection="1">
      <alignment/>
      <protection/>
    </xf>
    <xf numFmtId="168" fontId="0" fillId="0" borderId="15" xfId="0" applyNumberFormat="1" applyFill="1" applyBorder="1" applyAlignment="1" applyProtection="1">
      <alignment horizontal="center" vertical="center"/>
      <protection/>
    </xf>
    <xf numFmtId="168" fontId="0" fillId="0" borderId="16" xfId="0" applyNumberFormat="1" applyFill="1" applyBorder="1" applyAlignment="1" applyProtection="1">
      <alignment horizontal="center" vertical="center"/>
      <protection/>
    </xf>
    <xf numFmtId="164" fontId="0" fillId="0" borderId="17" xfId="0" applyFont="1" applyFill="1" applyBorder="1" applyAlignment="1" applyProtection="1">
      <alignment horizontal="center" vertical="center"/>
      <protection/>
    </xf>
    <xf numFmtId="164" fontId="0" fillId="0" borderId="12" xfId="0" applyFont="1" applyFill="1" applyBorder="1" applyAlignment="1" applyProtection="1">
      <alignment horizontal="left" vertical="center"/>
      <protection/>
    </xf>
    <xf numFmtId="169" fontId="1" fillId="0" borderId="14" xfId="0" applyNumberFormat="1" applyFont="1" applyFill="1" applyBorder="1" applyAlignment="1" applyProtection="1">
      <alignment horizontal="center" vertical="center"/>
      <protection/>
    </xf>
    <xf numFmtId="164" fontId="0" fillId="0" borderId="15" xfId="0" applyFill="1" applyBorder="1" applyAlignment="1" applyProtection="1">
      <alignment horizontal="center" vertical="center"/>
      <protection/>
    </xf>
    <xf numFmtId="164" fontId="0" fillId="0" borderId="16" xfId="0" applyFill="1" applyBorder="1" applyAlignment="1" applyProtection="1">
      <alignment horizontal="center" vertical="center"/>
      <protection/>
    </xf>
    <xf numFmtId="168" fontId="1" fillId="0" borderId="18" xfId="0" applyNumberFormat="1" applyFont="1" applyFill="1" applyBorder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/>
      <protection/>
    </xf>
    <xf numFmtId="168" fontId="1" fillId="0" borderId="4" xfId="0" applyNumberFormat="1" applyFont="1" applyFill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horizontal="left"/>
      <protection/>
    </xf>
    <xf numFmtId="164" fontId="0" fillId="0" borderId="9" xfId="0" applyFont="1" applyBorder="1" applyAlignment="1" applyProtection="1">
      <alignment/>
      <protection/>
    </xf>
    <xf numFmtId="168" fontId="1" fillId="0" borderId="12" xfId="0" applyNumberFormat="1" applyFont="1" applyFill="1" applyBorder="1" applyAlignment="1" applyProtection="1">
      <alignment horizontal="center" vertical="center"/>
      <protection/>
    </xf>
    <xf numFmtId="164" fontId="0" fillId="0" borderId="19" xfId="0" applyFont="1" applyFill="1" applyBorder="1" applyAlignment="1" applyProtection="1">
      <alignment horizontal="center" vertical="center"/>
      <protection/>
    </xf>
    <xf numFmtId="168" fontId="1" fillId="0" borderId="20" xfId="0" applyNumberFormat="1" applyFont="1" applyFill="1" applyBorder="1" applyAlignment="1" applyProtection="1">
      <alignment horizontal="center" vertical="center"/>
      <protection/>
    </xf>
    <xf numFmtId="164" fontId="0" fillId="0" borderId="20" xfId="0" applyFont="1" applyFill="1" applyBorder="1" applyAlignment="1" applyProtection="1">
      <alignment horizontal="center" vertical="center"/>
      <protection/>
    </xf>
    <xf numFmtId="164" fontId="0" fillId="0" borderId="20" xfId="0" applyFill="1" applyBorder="1" applyAlignment="1" applyProtection="1">
      <alignment horizontal="center" vertical="center"/>
      <protection/>
    </xf>
    <xf numFmtId="164" fontId="0" fillId="0" borderId="21" xfId="0" applyBorder="1" applyAlignment="1" applyProtection="1">
      <alignment horizontal="center" vertical="center"/>
      <protection/>
    </xf>
    <xf numFmtId="164" fontId="0" fillId="0" borderId="22" xfId="0" applyFill="1" applyBorder="1" applyAlignment="1" applyProtection="1">
      <alignment horizontal="left" vertical="center"/>
      <protection/>
    </xf>
    <xf numFmtId="164" fontId="0" fillId="0" borderId="23" xfId="0" applyFill="1" applyBorder="1" applyAlignment="1" applyProtection="1">
      <alignment horizontal="center" vertical="center"/>
      <protection/>
    </xf>
    <xf numFmtId="164" fontId="0" fillId="0" borderId="24" xfId="0" applyFont="1" applyBorder="1" applyAlignment="1" applyProtection="1">
      <alignment/>
      <protection/>
    </xf>
    <xf numFmtId="164" fontId="0" fillId="3" borderId="4" xfId="0" applyFont="1" applyFill="1" applyBorder="1" applyAlignment="1" applyProtection="1">
      <alignment horizontal="center" vertical="center" textRotation="255"/>
      <protection/>
    </xf>
    <xf numFmtId="164" fontId="0" fillId="0" borderId="4" xfId="0" applyFont="1" applyBorder="1" applyAlignment="1" applyProtection="1">
      <alignment horizontal="center"/>
      <protection/>
    </xf>
    <xf numFmtId="164" fontId="0" fillId="3" borderId="4" xfId="0" applyFont="1" applyFill="1" applyBorder="1" applyAlignment="1" applyProtection="1">
      <alignment horizontal="center" vertical="center"/>
      <protection/>
    </xf>
    <xf numFmtId="164" fontId="0" fillId="0" borderId="25" xfId="0" applyBorder="1" applyAlignment="1" applyProtection="1">
      <alignment/>
      <protection/>
    </xf>
    <xf numFmtId="164" fontId="0" fillId="0" borderId="7" xfId="0" applyFill="1" applyBorder="1" applyAlignment="1" applyProtection="1">
      <alignment/>
      <protection/>
    </xf>
    <xf numFmtId="164" fontId="2" fillId="0" borderId="0" xfId="0" applyFont="1" applyBorder="1" applyAlignment="1" applyProtection="1">
      <alignment horizontal="center" vertical="top"/>
      <protection/>
    </xf>
    <xf numFmtId="164" fontId="0" fillId="3" borderId="6" xfId="0" applyFont="1" applyFill="1" applyBorder="1" applyAlignment="1" applyProtection="1">
      <alignment horizontal="center" vertical="center"/>
      <protection/>
    </xf>
    <xf numFmtId="170" fontId="4" fillId="3" borderId="26" xfId="0" applyNumberFormat="1" applyFont="1" applyFill="1" applyBorder="1" applyAlignment="1" applyProtection="1">
      <alignment horizontal="center" vertical="center"/>
      <protection/>
    </xf>
    <xf numFmtId="168" fontId="4" fillId="3" borderId="26" xfId="0" applyNumberFormat="1" applyFont="1" applyFill="1" applyBorder="1" applyAlignment="1" applyProtection="1">
      <alignment horizontal="center" vertical="center"/>
      <protection/>
    </xf>
    <xf numFmtId="164" fontId="0" fillId="0" borderId="11" xfId="0" applyFont="1" applyBorder="1" applyAlignment="1" applyProtection="1">
      <alignment horizontal="center" vertical="center"/>
      <protection/>
    </xf>
    <xf numFmtId="164" fontId="0" fillId="0" borderId="27" xfId="0" applyFont="1" applyBorder="1" applyAlignment="1" applyProtection="1">
      <alignment horizontal="center" vertical="center"/>
      <protection/>
    </xf>
    <xf numFmtId="164" fontId="5" fillId="0" borderId="7" xfId="0" applyFont="1" applyBorder="1" applyAlignment="1" applyProtection="1">
      <alignment horizontal="center"/>
      <protection/>
    </xf>
    <xf numFmtId="170" fontId="2" fillId="0" borderId="0" xfId="0" applyNumberFormat="1" applyFont="1" applyBorder="1" applyAlignment="1" applyProtection="1">
      <alignment horizontal="center"/>
      <protection/>
    </xf>
    <xf numFmtId="164" fontId="1" fillId="2" borderId="28" xfId="0" applyFont="1" applyFill="1" applyBorder="1" applyAlignment="1" applyProtection="1">
      <alignment horizontal="center" vertical="center"/>
      <protection locked="0"/>
    </xf>
    <xf numFmtId="164" fontId="0" fillId="3" borderId="27" xfId="0" applyFont="1" applyFill="1" applyBorder="1" applyAlignment="1" applyProtection="1">
      <alignment horizontal="center" vertical="center"/>
      <protection/>
    </xf>
    <xf numFmtId="164" fontId="0" fillId="3" borderId="29" xfId="0" applyFill="1" applyBorder="1" applyAlignment="1" applyProtection="1">
      <alignment horizontal="center" vertical="center"/>
      <protection/>
    </xf>
    <xf numFmtId="164" fontId="6" fillId="0" borderId="30" xfId="0" applyFont="1" applyBorder="1" applyAlignment="1" applyProtection="1">
      <alignment horizontal="center"/>
      <protection/>
    </xf>
    <xf numFmtId="164" fontId="1" fillId="0" borderId="31" xfId="0" applyFont="1" applyFill="1" applyBorder="1" applyAlignment="1" applyProtection="1">
      <alignment horizontal="center" vertical="top"/>
      <protection locked="0"/>
    </xf>
    <xf numFmtId="171" fontId="1" fillId="2" borderId="12" xfId="0" applyNumberFormat="1" applyFont="1" applyFill="1" applyBorder="1" applyAlignment="1" applyProtection="1">
      <alignment horizontal="center" vertical="center"/>
      <protection locked="0"/>
    </xf>
    <xf numFmtId="164" fontId="1" fillId="2" borderId="12" xfId="0" applyFont="1" applyFill="1" applyBorder="1" applyAlignment="1" applyProtection="1">
      <alignment horizontal="center" vertical="center"/>
      <protection locked="0"/>
    </xf>
    <xf numFmtId="164" fontId="1" fillId="0" borderId="32" xfId="0" applyFont="1" applyBorder="1" applyAlignment="1" applyProtection="1">
      <alignment horizontal="center" vertical="center"/>
      <protection/>
    </xf>
    <xf numFmtId="164" fontId="0" fillId="0" borderId="20" xfId="0" applyFont="1" applyBorder="1" applyAlignment="1" applyProtection="1">
      <alignment horizontal="center" vertical="center"/>
      <protection/>
    </xf>
    <xf numFmtId="164" fontId="1" fillId="2" borderId="31" xfId="0" applyFont="1" applyFill="1" applyBorder="1" applyAlignment="1" applyProtection="1">
      <alignment horizontal="center" vertical="top"/>
      <protection locked="0"/>
    </xf>
    <xf numFmtId="170" fontId="0" fillId="0" borderId="0" xfId="0" applyNumberFormat="1" applyBorder="1" applyAlignment="1" applyProtection="1">
      <alignment/>
      <protection/>
    </xf>
    <xf numFmtId="164" fontId="2" fillId="3" borderId="0" xfId="0" applyFont="1" applyFill="1" applyBorder="1" applyAlignment="1" applyProtection="1">
      <alignment horizontal="center"/>
      <protection/>
    </xf>
    <xf numFmtId="164" fontId="1" fillId="2" borderId="28" xfId="0" applyFont="1" applyFill="1" applyBorder="1" applyAlignment="1" applyProtection="1">
      <alignment horizontal="center"/>
      <protection locked="0"/>
    </xf>
    <xf numFmtId="164" fontId="1" fillId="0" borderId="20" xfId="0" applyFont="1" applyBorder="1" applyAlignment="1" applyProtection="1">
      <alignment horizontal="center" vertical="center"/>
      <protection/>
    </xf>
    <xf numFmtId="164" fontId="0" fillId="3" borderId="4" xfId="0" applyFill="1" applyBorder="1" applyAlignment="1" applyProtection="1">
      <alignment/>
      <protection/>
    </xf>
    <xf numFmtId="165" fontId="1" fillId="0" borderId="4" xfId="0" applyNumberFormat="1" applyFont="1" applyBorder="1" applyAlignment="1" applyProtection="1">
      <alignment horizontal="center" vertical="center"/>
      <protection/>
    </xf>
    <xf numFmtId="164" fontId="1" fillId="0" borderId="31" xfId="0" applyFont="1" applyFill="1" applyBorder="1" applyAlignment="1" applyProtection="1">
      <alignment horizontal="center" vertical="top"/>
      <protection/>
    </xf>
    <xf numFmtId="164" fontId="0" fillId="3" borderId="20" xfId="0" applyFill="1" applyBorder="1" applyAlignment="1" applyProtection="1">
      <alignment/>
      <protection/>
    </xf>
    <xf numFmtId="165" fontId="1" fillId="0" borderId="20" xfId="0" applyNumberFormat="1" applyFont="1" applyBorder="1" applyAlignment="1" applyProtection="1">
      <alignment horizontal="center" vertical="center"/>
      <protection/>
    </xf>
    <xf numFmtId="164" fontId="1" fillId="2" borderId="31" xfId="0" applyFont="1" applyFill="1" applyBorder="1" applyAlignment="1" applyProtection="1">
      <alignment horizontal="center" vertical="top"/>
      <protection/>
    </xf>
    <xf numFmtId="164" fontId="2" fillId="0" borderId="0" xfId="0" applyFont="1" applyFill="1" applyBorder="1" applyAlignment="1" applyProtection="1">
      <alignment/>
      <protection/>
    </xf>
    <xf numFmtId="164" fontId="2" fillId="0" borderId="0" xfId="0" applyFont="1" applyFill="1" applyBorder="1" applyAlignment="1" applyProtection="1">
      <alignment horizontal="center"/>
      <protection/>
    </xf>
    <xf numFmtId="164" fontId="0" fillId="3" borderId="32" xfId="0" applyFill="1" applyBorder="1" applyAlignment="1" applyProtection="1">
      <alignment/>
      <protection/>
    </xf>
    <xf numFmtId="170" fontId="1" fillId="2" borderId="12" xfId="0" applyNumberFormat="1" applyFont="1" applyFill="1" applyBorder="1" applyAlignment="1" applyProtection="1">
      <alignment horizontal="center" vertical="center"/>
      <protection locked="0"/>
    </xf>
    <xf numFmtId="171" fontId="1" fillId="2" borderId="27" xfId="0" applyNumberFormat="1" applyFont="1" applyFill="1" applyBorder="1" applyAlignment="1" applyProtection="1">
      <alignment horizontal="center" vertical="center"/>
      <protection locked="0"/>
    </xf>
    <xf numFmtId="170" fontId="1" fillId="2" borderId="27" xfId="0" applyNumberFormat="1" applyFont="1" applyFill="1" applyBorder="1" applyAlignment="1" applyProtection="1">
      <alignment horizontal="center" vertical="center"/>
      <protection locked="0"/>
    </xf>
    <xf numFmtId="164" fontId="0" fillId="3" borderId="32" xfId="0" applyFill="1" applyBorder="1" applyAlignment="1" applyProtection="1">
      <alignment horizontal="center" vertical="center"/>
      <protection/>
    </xf>
    <xf numFmtId="164" fontId="2" fillId="0" borderId="13" xfId="0" applyFont="1" applyBorder="1" applyAlignment="1" applyProtection="1">
      <alignment horizontal="center"/>
      <protection/>
    </xf>
    <xf numFmtId="164" fontId="2" fillId="3" borderId="18" xfId="0" applyFont="1" applyFill="1" applyBorder="1" applyAlignment="1" applyProtection="1">
      <alignment horizontal="center"/>
      <protection/>
    </xf>
    <xf numFmtId="164" fontId="2" fillId="0" borderId="18" xfId="0" applyFont="1" applyBorder="1" applyAlignment="1" applyProtection="1">
      <alignment horizontal="center"/>
      <protection/>
    </xf>
    <xf numFmtId="164" fontId="2" fillId="0" borderId="8" xfId="0" applyFont="1" applyBorder="1" applyAlignment="1" applyProtection="1">
      <alignment/>
      <protection/>
    </xf>
    <xf numFmtId="164" fontId="2" fillId="0" borderId="13" xfId="0" applyFont="1" applyBorder="1" applyAlignment="1" applyProtection="1">
      <alignment/>
      <protection/>
    </xf>
    <xf numFmtId="164" fontId="2" fillId="0" borderId="0" xfId="0" applyFont="1" applyAlignment="1" applyProtection="1">
      <alignment horizontal="center"/>
      <protection/>
    </xf>
    <xf numFmtId="164" fontId="1" fillId="0" borderId="6" xfId="0" applyFont="1" applyFill="1" applyBorder="1" applyAlignment="1" applyProtection="1">
      <alignment horizontal="center" vertical="center"/>
      <protection/>
    </xf>
    <xf numFmtId="164" fontId="1" fillId="2" borderId="27" xfId="0" applyFont="1" applyFill="1" applyBorder="1" applyAlignment="1" applyProtection="1">
      <alignment horizontal="center" vertical="center"/>
      <protection/>
    </xf>
    <xf numFmtId="164" fontId="1" fillId="2" borderId="27" xfId="0" applyFont="1" applyFill="1" applyBorder="1" applyAlignment="1" applyProtection="1">
      <alignment/>
      <protection/>
    </xf>
    <xf numFmtId="164" fontId="1" fillId="0" borderId="13" xfId="0" applyFont="1" applyBorder="1" applyAlignment="1" applyProtection="1">
      <alignment/>
      <protection/>
    </xf>
    <xf numFmtId="164" fontId="0" fillId="0" borderId="13" xfId="0" applyBorder="1" applyAlignment="1" applyProtection="1">
      <alignment/>
      <protection/>
    </xf>
    <xf numFmtId="165" fontId="1" fillId="0" borderId="27" xfId="0" applyNumberFormat="1" applyFont="1" applyBorder="1" applyAlignment="1" applyProtection="1">
      <alignment horizontal="center" vertical="center"/>
      <protection/>
    </xf>
    <xf numFmtId="164" fontId="0" fillId="0" borderId="33" xfId="0" applyBorder="1" applyAlignment="1" applyProtection="1">
      <alignment/>
      <protection/>
    </xf>
    <xf numFmtId="164" fontId="0" fillId="0" borderId="34" xfId="0" applyBorder="1" applyAlignment="1" applyProtection="1">
      <alignment/>
      <protection/>
    </xf>
    <xf numFmtId="164" fontId="1" fillId="2" borderId="27" xfId="0" applyFont="1" applyFill="1" applyBorder="1" applyAlignment="1" applyProtection="1">
      <alignment horizontal="center" vertical="center"/>
      <protection locked="0"/>
    </xf>
    <xf numFmtId="164" fontId="1" fillId="2" borderId="27" xfId="0" applyFont="1" applyFill="1" applyBorder="1" applyAlignment="1" applyProtection="1">
      <alignment/>
      <protection locked="0"/>
    </xf>
    <xf numFmtId="164" fontId="2" fillId="0" borderId="18" xfId="0" applyFont="1" applyBorder="1" applyAlignment="1" applyProtection="1">
      <alignment/>
      <protection/>
    </xf>
    <xf numFmtId="164" fontId="0" fillId="0" borderId="22" xfId="0" applyFill="1" applyBorder="1" applyAlignment="1" applyProtection="1">
      <alignment horizontal="center" vertical="center"/>
      <protection/>
    </xf>
    <xf numFmtId="164" fontId="0" fillId="0" borderId="22" xfId="0" applyFill="1" applyBorder="1" applyAlignment="1" applyProtection="1">
      <alignment/>
      <protection/>
    </xf>
    <xf numFmtId="164" fontId="0" fillId="0" borderId="35" xfId="0" applyFill="1" applyBorder="1" applyAlignment="1" applyProtection="1">
      <alignment/>
      <protection/>
    </xf>
    <xf numFmtId="164" fontId="0" fillId="0" borderId="36" xfId="0" applyFill="1" applyBorder="1" applyAlignment="1" applyProtection="1">
      <alignment/>
      <protection/>
    </xf>
    <xf numFmtId="164" fontId="0" fillId="0" borderId="37" xfId="0" applyFill="1" applyBorder="1" applyAlignment="1" applyProtection="1">
      <alignment/>
      <protection/>
    </xf>
    <xf numFmtId="164" fontId="0" fillId="0" borderId="0" xfId="0" applyFill="1" applyBorder="1" applyAlignment="1" applyProtection="1">
      <alignment/>
      <protection/>
    </xf>
    <xf numFmtId="164" fontId="0" fillId="0" borderId="0" xfId="0" applyFill="1" applyBorder="1" applyAlignment="1" applyProtection="1">
      <alignment horizontal="center" vertical="center"/>
      <protection/>
    </xf>
    <xf numFmtId="164" fontId="0" fillId="0" borderId="0" xfId="0" applyBorder="1" applyAlignment="1" applyProtection="1">
      <alignment horizontal="center" vertical="center"/>
      <protection/>
    </xf>
    <xf numFmtId="164" fontId="0" fillId="0" borderId="37" xfId="0" applyFill="1" applyBorder="1" applyAlignment="1" applyProtection="1">
      <alignment horizontal="center" vertical="center"/>
      <protection/>
    </xf>
    <xf numFmtId="164" fontId="0" fillId="0" borderId="37" xfId="0" applyBorder="1" applyAlignment="1" applyProtection="1">
      <alignment/>
      <protection/>
    </xf>
    <xf numFmtId="164" fontId="0" fillId="0" borderId="0" xfId="0" applyFill="1" applyAlignment="1" applyProtection="1">
      <alignment/>
      <protection/>
    </xf>
    <xf numFmtId="172" fontId="0" fillId="0" borderId="0" xfId="0" applyNumberFormat="1" applyAlignment="1" applyProtection="1">
      <alignment/>
      <protection/>
    </xf>
    <xf numFmtId="164" fontId="7" fillId="2" borderId="12" xfId="0" applyFont="1" applyFill="1" applyBorder="1" applyAlignment="1" applyProtection="1">
      <alignment horizontal="center"/>
      <protection locked="0"/>
    </xf>
    <xf numFmtId="164" fontId="7" fillId="0" borderId="37" xfId="0" applyFont="1" applyBorder="1" applyAlignment="1" applyProtection="1">
      <alignment horizontal="center"/>
      <protection/>
    </xf>
    <xf numFmtId="164" fontId="7" fillId="2" borderId="20" xfId="0" applyFont="1" applyFill="1" applyBorder="1" applyAlignment="1" applyProtection="1">
      <alignment horizontal="center" vertical="center"/>
      <protection locked="0"/>
    </xf>
    <xf numFmtId="164" fontId="7" fillId="0" borderId="0" xfId="0" applyFont="1" applyAlignment="1" applyProtection="1">
      <alignment horizontal="left"/>
      <protection/>
    </xf>
    <xf numFmtId="164" fontId="7" fillId="0" borderId="0" xfId="0" applyFont="1" applyAlignment="1" applyProtection="1">
      <alignment/>
      <protection/>
    </xf>
    <xf numFmtId="164" fontId="4" fillId="0" borderId="26" xfId="0" applyFont="1" applyBorder="1" applyAlignment="1" applyProtection="1">
      <alignment horizontal="center" vertical="center"/>
      <protection/>
    </xf>
    <xf numFmtId="173" fontId="1" fillId="0" borderId="38" xfId="0" applyNumberFormat="1" applyFont="1" applyBorder="1" applyAlignment="1" applyProtection="1">
      <alignment horizontal="center" vertical="center"/>
      <protection/>
    </xf>
    <xf numFmtId="164" fontId="1" fillId="0" borderId="0" xfId="0" applyFont="1" applyAlignment="1" applyProtection="1">
      <alignment/>
      <protection/>
    </xf>
    <xf numFmtId="164" fontId="1" fillId="0" borderId="0" xfId="0" applyFont="1" applyBorder="1" applyAlignment="1" applyProtection="1">
      <alignment horizontal="center" vertical="center"/>
      <protection/>
    </xf>
    <xf numFmtId="170" fontId="1" fillId="0" borderId="26" xfId="0" applyNumberFormat="1" applyFont="1" applyBorder="1" applyAlignment="1" applyProtection="1">
      <alignment horizontal="center" vertical="center"/>
      <protection/>
    </xf>
    <xf numFmtId="164" fontId="1" fillId="0" borderId="26" xfId="0" applyFont="1" applyBorder="1" applyAlignment="1" applyProtection="1">
      <alignment horizontal="center" vertical="center"/>
      <protection/>
    </xf>
    <xf numFmtId="164" fontId="1" fillId="2" borderId="26" xfId="0" applyFont="1" applyFill="1" applyBorder="1" applyAlignment="1" applyProtection="1">
      <alignment horizontal="center" vertical="center"/>
      <protection locked="0"/>
    </xf>
    <xf numFmtId="164" fontId="1" fillId="2" borderId="26" xfId="0" applyFont="1" applyFill="1" applyBorder="1" applyAlignment="1" applyProtection="1">
      <alignment horizontal="center"/>
      <protection locked="0"/>
    </xf>
    <xf numFmtId="164" fontId="1" fillId="0" borderId="0" xfId="0" applyFont="1" applyAlignment="1" applyProtection="1">
      <alignment horizontal="center"/>
      <protection/>
    </xf>
    <xf numFmtId="164" fontId="0" fillId="0" borderId="34" xfId="0" applyFont="1" applyBorder="1" applyAlignment="1" applyProtection="1">
      <alignment horizontal="center" vertical="center" textRotation="90"/>
      <protection/>
    </xf>
    <xf numFmtId="164" fontId="1" fillId="0" borderId="15" xfId="0" applyFont="1" applyBorder="1" applyAlignment="1" applyProtection="1">
      <alignment horizontal="left" vertical="center"/>
      <protection/>
    </xf>
    <xf numFmtId="172" fontId="1" fillId="0" borderId="39" xfId="0" applyNumberFormat="1" applyFont="1" applyBorder="1" applyAlignment="1" applyProtection="1">
      <alignment horizontal="center" vertical="center"/>
      <protection/>
    </xf>
    <xf numFmtId="164" fontId="1" fillId="0" borderId="16" xfId="0" applyFont="1" applyBorder="1" applyAlignment="1" applyProtection="1">
      <alignment horizontal="center" vertical="center"/>
      <protection/>
    </xf>
    <xf numFmtId="168" fontId="1" fillId="0" borderId="26" xfId="0" applyNumberFormat="1" applyFont="1" applyBorder="1" applyAlignment="1" applyProtection="1">
      <alignment horizontal="center" vertical="center"/>
      <protection/>
    </xf>
    <xf numFmtId="164" fontId="1" fillId="0" borderId="15" xfId="0" applyFont="1" applyBorder="1" applyAlignment="1" applyProtection="1">
      <alignment horizontal="right" vertical="center"/>
      <protection/>
    </xf>
    <xf numFmtId="164" fontId="4" fillId="0" borderId="16" xfId="0" applyFont="1" applyBorder="1" applyAlignment="1" applyProtection="1">
      <alignment horizontal="right" vertical="center"/>
      <protection/>
    </xf>
    <xf numFmtId="164" fontId="4" fillId="0" borderId="39" xfId="0" applyFont="1" applyBorder="1" applyAlignment="1" applyProtection="1">
      <alignment horizontal="left" vertical="center"/>
      <protection/>
    </xf>
    <xf numFmtId="164" fontId="1" fillId="0" borderId="40" xfId="0" applyFont="1" applyBorder="1" applyAlignment="1" applyProtection="1">
      <alignment horizontal="left" vertical="center"/>
      <protection/>
    </xf>
    <xf numFmtId="164" fontId="1" fillId="0" borderId="41" xfId="0" applyFont="1" applyBorder="1" applyAlignment="1" applyProtection="1">
      <alignment horizontal="center" vertical="center"/>
      <protection/>
    </xf>
    <xf numFmtId="164" fontId="1" fillId="0" borderId="42" xfId="0" applyFont="1" applyBorder="1" applyAlignment="1" applyProtection="1">
      <alignment horizontal="center" vertical="center"/>
      <protection/>
    </xf>
    <xf numFmtId="164" fontId="0" fillId="0" borderId="8" xfId="0" applyFont="1" applyBorder="1" applyAlignment="1" applyProtection="1">
      <alignment horizontal="center" vertical="center" textRotation="90"/>
      <protection/>
    </xf>
    <xf numFmtId="164" fontId="0" fillId="0" borderId="0" xfId="0" applyFont="1" applyBorder="1" applyAlignment="1" applyProtection="1">
      <alignment horizontal="center" vertical="center"/>
      <protection/>
    </xf>
    <xf numFmtId="164" fontId="1" fillId="0" borderId="0" xfId="0" applyFont="1" applyAlignment="1" applyProtection="1">
      <alignment horizontal="center" vertical="center"/>
      <protection/>
    </xf>
    <xf numFmtId="164" fontId="1" fillId="0" borderId="39" xfId="0" applyFont="1" applyBorder="1" applyAlignment="1" applyProtection="1">
      <alignment horizontal="center" vertical="center"/>
      <protection/>
    </xf>
    <xf numFmtId="164" fontId="1" fillId="0" borderId="16" xfId="0" applyFont="1" applyBorder="1" applyAlignment="1" applyProtection="1">
      <alignment horizontal="right" vertical="center"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1" fillId="0" borderId="36" xfId="0" applyFont="1" applyBorder="1" applyAlignment="1" applyProtection="1">
      <alignment horizontal="center" vertical="center"/>
      <protection/>
    </xf>
    <xf numFmtId="164" fontId="1" fillId="0" borderId="8" xfId="0" applyFont="1" applyBorder="1" applyAlignment="1" applyProtection="1">
      <alignment horizontal="left" vertical="center"/>
      <protection/>
    </xf>
    <xf numFmtId="164" fontId="1" fillId="0" borderId="34" xfId="0" applyFont="1" applyBorder="1" applyAlignment="1" applyProtection="1">
      <alignment horizontal="right" vertical="center"/>
      <protection/>
    </xf>
    <xf numFmtId="164" fontId="4" fillId="0" borderId="16" xfId="0" applyFont="1" applyBorder="1" applyAlignment="1" applyProtection="1">
      <alignment horizontal="left" vertical="center"/>
      <protection/>
    </xf>
    <xf numFmtId="164" fontId="1" fillId="0" borderId="15" xfId="0" applyFont="1" applyBorder="1" applyAlignment="1" applyProtection="1">
      <alignment horizontal="center" vertical="center"/>
      <protection/>
    </xf>
    <xf numFmtId="164" fontId="1" fillId="0" borderId="0" xfId="0" applyFont="1" applyBorder="1" applyAlignment="1" applyProtection="1">
      <alignment/>
      <protection/>
    </xf>
    <xf numFmtId="164" fontId="4" fillId="0" borderId="15" xfId="0" applyFont="1" applyBorder="1" applyAlignment="1" applyProtection="1">
      <alignment horizontal="center" vertical="center"/>
      <protection/>
    </xf>
    <xf numFmtId="164" fontId="8" fillId="0" borderId="0" xfId="0" applyFont="1" applyBorder="1" applyAlignment="1" applyProtection="1">
      <alignment horizontal="center" vertical="center"/>
      <protection/>
    </xf>
    <xf numFmtId="173" fontId="1" fillId="0" borderId="0" xfId="0" applyNumberFormat="1" applyFont="1" applyBorder="1" applyAlignment="1" applyProtection="1">
      <alignment horizontal="left"/>
      <protection/>
    </xf>
    <xf numFmtId="164" fontId="1" fillId="0" borderId="43" xfId="0" applyFont="1" applyBorder="1" applyAlignment="1" applyProtection="1">
      <alignment horizontal="center" vertical="center"/>
      <protection/>
    </xf>
    <xf numFmtId="173" fontId="1" fillId="0" borderId="0" xfId="0" applyNumberFormat="1" applyFont="1" applyAlignment="1" applyProtection="1">
      <alignment/>
      <protection/>
    </xf>
    <xf numFmtId="164" fontId="8" fillId="0" borderId="0" xfId="0" applyFont="1" applyAlignment="1" applyProtection="1">
      <alignment/>
      <protection/>
    </xf>
    <xf numFmtId="173" fontId="0" fillId="0" borderId="0" xfId="0" applyNumberFormat="1" applyAlignment="1" applyProtection="1">
      <alignment/>
      <protection/>
    </xf>
    <xf numFmtId="164" fontId="1" fillId="2" borderId="26" xfId="0" applyNumberFormat="1" applyFont="1" applyFill="1" applyBorder="1" applyAlignment="1" applyProtection="1">
      <alignment horizontal="center"/>
      <protection locked="0"/>
    </xf>
    <xf numFmtId="164" fontId="0" fillId="0" borderId="0" xfId="0" applyFont="1" applyBorder="1" applyAlignment="1" applyProtection="1">
      <alignment horizontal="center" vertical="center" textRotation="90"/>
      <protection/>
    </xf>
    <xf numFmtId="164" fontId="1" fillId="0" borderId="34" xfId="0" applyFont="1" applyBorder="1" applyAlignment="1" applyProtection="1">
      <alignment horizontal="center" vertical="center"/>
      <protection/>
    </xf>
    <xf numFmtId="164" fontId="1" fillId="0" borderId="26" xfId="0" applyFont="1" applyBorder="1" applyAlignment="1" applyProtection="1">
      <alignment horizontal="right" vertical="center"/>
      <protection/>
    </xf>
    <xf numFmtId="164" fontId="1" fillId="0" borderId="44" xfId="0" applyFont="1" applyBorder="1" applyAlignment="1" applyProtection="1">
      <alignment horizontal="left" vertical="center"/>
      <protection/>
    </xf>
    <xf numFmtId="164" fontId="1" fillId="0" borderId="36" xfId="0" applyFont="1" applyBorder="1" applyAlignment="1" applyProtection="1">
      <alignment horizontal="right" vertical="center"/>
      <protection/>
    </xf>
    <xf numFmtId="164" fontId="4" fillId="0" borderId="39" xfId="0" applyFont="1" applyBorder="1" applyAlignment="1" applyProtection="1">
      <alignment horizontal="center" vertical="center"/>
      <protection/>
    </xf>
    <xf numFmtId="164" fontId="1" fillId="0" borderId="0" xfId="0" applyFont="1" applyAlignment="1">
      <alignment/>
    </xf>
    <xf numFmtId="164" fontId="4" fillId="2" borderId="45" xfId="0" applyFont="1" applyFill="1" applyBorder="1" applyAlignment="1">
      <alignment horizontal="center" vertical="center"/>
    </xf>
    <xf numFmtId="164" fontId="0" fillId="2" borderId="46" xfId="0" applyFont="1" applyFill="1" applyBorder="1" applyAlignment="1">
      <alignment horizontal="center"/>
    </xf>
    <xf numFmtId="164" fontId="1" fillId="2" borderId="8" xfId="0" applyFont="1" applyFill="1" applyBorder="1" applyAlignment="1">
      <alignment/>
    </xf>
    <xf numFmtId="164" fontId="9" fillId="2" borderId="0" xfId="0" applyFont="1" applyFill="1" applyBorder="1" applyAlignment="1">
      <alignment vertical="center"/>
    </xf>
    <xf numFmtId="164" fontId="1" fillId="2" borderId="0" xfId="0" applyFont="1" applyFill="1" applyBorder="1" applyAlignment="1">
      <alignment/>
    </xf>
    <xf numFmtId="164" fontId="9" fillId="2" borderId="0" xfId="0" applyFont="1" applyFill="1" applyBorder="1" applyAlignment="1">
      <alignment/>
    </xf>
    <xf numFmtId="164" fontId="1" fillId="2" borderId="34" xfId="0" applyFont="1" applyFill="1" applyBorder="1" applyAlignment="1">
      <alignment/>
    </xf>
    <xf numFmtId="164" fontId="4" fillId="2" borderId="8" xfId="0" applyFont="1" applyFill="1" applyBorder="1" applyAlignment="1">
      <alignment/>
    </xf>
    <xf numFmtId="164" fontId="4" fillId="2" borderId="0" xfId="0" applyFont="1" applyFill="1" applyBorder="1" applyAlignment="1">
      <alignment/>
    </xf>
    <xf numFmtId="164" fontId="10" fillId="2" borderId="0" xfId="0" applyFont="1" applyFill="1" applyBorder="1" applyAlignment="1">
      <alignment/>
    </xf>
    <xf numFmtId="164" fontId="1" fillId="2" borderId="10" xfId="0" applyFont="1" applyFill="1" applyBorder="1" applyAlignment="1">
      <alignment/>
    </xf>
    <xf numFmtId="164" fontId="1" fillId="2" borderId="47" xfId="0" applyFont="1" applyFill="1" applyBorder="1" applyAlignment="1">
      <alignment/>
    </xf>
    <xf numFmtId="164" fontId="1" fillId="2" borderId="48" xfId="0" applyFont="1" applyFill="1" applyBorder="1" applyAlignment="1">
      <alignment/>
    </xf>
    <xf numFmtId="164" fontId="1" fillId="2" borderId="49" xfId="0" applyFont="1" applyFill="1" applyBorder="1" applyAlignment="1">
      <alignment/>
    </xf>
    <xf numFmtId="164" fontId="1" fillId="2" borderId="50" xfId="0" applyFont="1" applyFill="1" applyBorder="1" applyAlignment="1">
      <alignment/>
    </xf>
    <xf numFmtId="164" fontId="1" fillId="2" borderId="14" xfId="0" applyFont="1" applyFill="1" applyBorder="1" applyAlignment="1">
      <alignment/>
    </xf>
    <xf numFmtId="164" fontId="1" fillId="2" borderId="17" xfId="0" applyFont="1" applyFill="1" applyBorder="1" applyAlignment="1">
      <alignment/>
    </xf>
    <xf numFmtId="164" fontId="11" fillId="2" borderId="0" xfId="0" applyFont="1" applyFill="1" applyBorder="1" applyAlignment="1">
      <alignment/>
    </xf>
    <xf numFmtId="164" fontId="9" fillId="2" borderId="50" xfId="0" applyFont="1" applyFill="1" applyBorder="1" applyAlignment="1">
      <alignment horizontal="center" vertical="center"/>
    </xf>
    <xf numFmtId="164" fontId="1" fillId="2" borderId="9" xfId="0" applyFont="1" applyFill="1" applyBorder="1" applyAlignment="1">
      <alignment/>
    </xf>
    <xf numFmtId="164" fontId="1" fillId="2" borderId="9" xfId="0" applyFont="1" applyFill="1" applyBorder="1" applyAlignment="1">
      <alignment vertical="center"/>
    </xf>
    <xf numFmtId="164" fontId="1" fillId="2" borderId="50" xfId="0" applyFont="1" applyFill="1" applyBorder="1" applyAlignment="1">
      <alignment vertical="center"/>
    </xf>
    <xf numFmtId="164" fontId="1" fillId="2" borderId="14" xfId="0" applyFont="1" applyFill="1" applyBorder="1" applyAlignment="1">
      <alignment vertical="center"/>
    </xf>
    <xf numFmtId="164" fontId="9" fillId="2" borderId="51" xfId="0" applyFont="1" applyFill="1" applyBorder="1" applyAlignment="1">
      <alignment horizontal="center" vertical="center"/>
    </xf>
    <xf numFmtId="164" fontId="9" fillId="2" borderId="47" xfId="0" applyFont="1" applyFill="1" applyBorder="1" applyAlignment="1">
      <alignment vertical="center"/>
    </xf>
    <xf numFmtId="164" fontId="1" fillId="2" borderId="47" xfId="0" applyFont="1" applyFill="1" applyBorder="1" applyAlignment="1">
      <alignment vertical="center"/>
    </xf>
    <xf numFmtId="164" fontId="1" fillId="2" borderId="10" xfId="0" applyFont="1" applyFill="1" applyBorder="1" applyAlignment="1">
      <alignment vertical="center"/>
    </xf>
    <xf numFmtId="164" fontId="9" fillId="2" borderId="47" xfId="0" applyFont="1" applyFill="1" applyBorder="1" applyAlignment="1">
      <alignment horizontal="center" vertical="center"/>
    </xf>
    <xf numFmtId="164" fontId="1" fillId="2" borderId="11" xfId="0" applyFont="1" applyFill="1" applyBorder="1" applyAlignment="1">
      <alignment vertical="center"/>
    </xf>
    <xf numFmtId="164" fontId="1" fillId="2" borderId="48" xfId="0" applyFont="1" applyFill="1" applyBorder="1" applyAlignment="1">
      <alignment vertical="center"/>
    </xf>
    <xf numFmtId="164" fontId="4" fillId="2" borderId="8" xfId="0" applyFont="1" applyFill="1" applyBorder="1" applyAlignment="1">
      <alignment vertical="center"/>
    </xf>
    <xf numFmtId="164" fontId="4" fillId="2" borderId="0" xfId="0" applyFont="1" applyFill="1" applyBorder="1" applyAlignment="1">
      <alignment vertical="center"/>
    </xf>
    <xf numFmtId="164" fontId="1" fillId="2" borderId="0" xfId="0" applyFont="1" applyFill="1" applyBorder="1" applyAlignment="1">
      <alignment vertical="center"/>
    </xf>
    <xf numFmtId="164" fontId="1" fillId="2" borderId="33" xfId="0" applyFont="1" applyFill="1" applyBorder="1" applyAlignment="1">
      <alignment vertical="center"/>
    </xf>
    <xf numFmtId="164" fontId="12" fillId="0" borderId="49" xfId="0" applyFont="1" applyFill="1" applyBorder="1" applyAlignment="1">
      <alignment vertical="center"/>
    </xf>
    <xf numFmtId="164" fontId="12" fillId="0" borderId="50" xfId="0" applyFont="1" applyFill="1" applyBorder="1" applyAlignment="1">
      <alignment vertical="center"/>
    </xf>
    <xf numFmtId="164" fontId="12" fillId="0" borderId="17" xfId="0" applyFont="1" applyFill="1" applyBorder="1" applyAlignment="1">
      <alignment vertical="center"/>
    </xf>
    <xf numFmtId="164" fontId="12" fillId="2" borderId="0" xfId="0" applyFont="1" applyFill="1" applyBorder="1" applyAlignment="1">
      <alignment vertical="center"/>
    </xf>
    <xf numFmtId="164" fontId="1" fillId="2" borderId="37" xfId="0" applyFont="1" applyFill="1" applyBorder="1" applyAlignment="1">
      <alignment vertical="center"/>
    </xf>
    <xf numFmtId="164" fontId="12" fillId="3" borderId="12" xfId="0" applyFont="1" applyFill="1" applyBorder="1" applyAlignment="1">
      <alignment horizontal="center" vertical="center"/>
    </xf>
    <xf numFmtId="164" fontId="1" fillId="2" borderId="34" xfId="0" applyFont="1" applyFill="1" applyBorder="1" applyAlignment="1">
      <alignment vertical="center"/>
    </xf>
    <xf numFmtId="164" fontId="4" fillId="2" borderId="52" xfId="0" applyFont="1" applyFill="1" applyBorder="1" applyAlignment="1">
      <alignment vertical="center"/>
    </xf>
    <xf numFmtId="164" fontId="4" fillId="2" borderId="43" xfId="0" applyFont="1" applyFill="1" applyBorder="1" applyAlignment="1">
      <alignment vertical="center"/>
    </xf>
    <xf numFmtId="164" fontId="1" fillId="2" borderId="43" xfId="0" applyFont="1" applyFill="1" applyBorder="1" applyAlignment="1">
      <alignment vertical="center"/>
    </xf>
    <xf numFmtId="164" fontId="1" fillId="2" borderId="30" xfId="0" applyFont="1" applyFill="1" applyBorder="1" applyAlignment="1">
      <alignment vertical="center"/>
    </xf>
    <xf numFmtId="164" fontId="12" fillId="2" borderId="43" xfId="0" applyFont="1" applyFill="1" applyBorder="1" applyAlignment="1">
      <alignment vertical="center"/>
    </xf>
    <xf numFmtId="164" fontId="1" fillId="2" borderId="53" xfId="0" applyFont="1" applyFill="1" applyBorder="1" applyAlignment="1">
      <alignment vertical="center"/>
    </xf>
    <xf numFmtId="164" fontId="12" fillId="2" borderId="50" xfId="0" applyFont="1" applyFill="1" applyBorder="1" applyAlignment="1">
      <alignment horizontal="center" vertical="center"/>
    </xf>
    <xf numFmtId="164" fontId="12" fillId="2" borderId="43" xfId="0" applyFont="1" applyFill="1" applyBorder="1" applyAlignment="1">
      <alignment horizontal="center" vertical="center"/>
    </xf>
    <xf numFmtId="164" fontId="1" fillId="2" borderId="54" xfId="0" applyFont="1" applyFill="1" applyBorder="1" applyAlignment="1">
      <alignment vertical="center"/>
    </xf>
    <xf numFmtId="164" fontId="1" fillId="2" borderId="11" xfId="0" applyFont="1" applyFill="1" applyBorder="1" applyAlignment="1">
      <alignment/>
    </xf>
    <xf numFmtId="164" fontId="9" fillId="2" borderId="0" xfId="0" applyFont="1" applyFill="1" applyBorder="1" applyAlignment="1">
      <alignment horizontal="center" vertical="center"/>
    </xf>
    <xf numFmtId="164" fontId="1" fillId="2" borderId="8" xfId="0" applyFont="1" applyFill="1" applyBorder="1" applyAlignment="1">
      <alignment vertical="center"/>
    </xf>
    <xf numFmtId="164" fontId="4" fillId="3" borderId="12" xfId="0" applyFont="1" applyFill="1" applyBorder="1" applyAlignment="1">
      <alignment horizontal="center" vertical="center"/>
    </xf>
    <xf numFmtId="164" fontId="4" fillId="3" borderId="55" xfId="0" applyFont="1" applyFill="1" applyBorder="1" applyAlignment="1">
      <alignment horizontal="center" vertical="center"/>
    </xf>
    <xf numFmtId="164" fontId="1" fillId="2" borderId="0" xfId="0" applyFont="1" applyFill="1" applyAlignment="1">
      <alignment/>
    </xf>
    <xf numFmtId="164" fontId="1" fillId="2" borderId="52" xfId="0" applyFont="1" applyFill="1" applyBorder="1" applyAlignment="1">
      <alignment vertical="center"/>
    </xf>
    <xf numFmtId="164" fontId="4" fillId="2" borderId="0" xfId="0" applyFont="1" applyFill="1" applyBorder="1" applyAlignment="1">
      <alignment horizontal="center" vertical="center"/>
    </xf>
    <xf numFmtId="164" fontId="1" fillId="2" borderId="51" xfId="0" applyFont="1" applyFill="1" applyBorder="1" applyAlignment="1">
      <alignment vertical="center"/>
    </xf>
    <xf numFmtId="164" fontId="12" fillId="3" borderId="12" xfId="0" applyFont="1" applyFill="1" applyBorder="1" applyAlignment="1" applyProtection="1">
      <alignment horizontal="center" vertical="center"/>
      <protection locked="0"/>
    </xf>
    <xf numFmtId="164" fontId="12" fillId="3" borderId="55" xfId="0" applyFont="1" applyFill="1" applyBorder="1" applyAlignment="1" applyProtection="1">
      <alignment horizontal="center" vertical="center"/>
      <protection locked="0"/>
    </xf>
    <xf numFmtId="164" fontId="12" fillId="2" borderId="43" xfId="0" applyFont="1" applyFill="1" applyBorder="1" applyAlignment="1" applyProtection="1">
      <alignment horizontal="center" vertical="center"/>
      <protection locked="0"/>
    </xf>
    <xf numFmtId="164" fontId="4" fillId="2" borderId="43" xfId="0" applyFont="1" applyFill="1" applyBorder="1" applyAlignment="1">
      <alignment/>
    </xf>
    <xf numFmtId="164" fontId="1" fillId="2" borderId="43" xfId="0" applyFont="1" applyFill="1" applyBorder="1" applyAlignment="1">
      <alignment/>
    </xf>
    <xf numFmtId="164" fontId="9" fillId="2" borderId="8" xfId="0" applyFont="1" applyFill="1" applyBorder="1" applyAlignment="1">
      <alignment horizontal="center" vertical="center"/>
    </xf>
    <xf numFmtId="164" fontId="12" fillId="3" borderId="10" xfId="0" applyFont="1" applyFill="1" applyBorder="1" applyAlignment="1" applyProtection="1">
      <alignment vertical="center"/>
      <protection/>
    </xf>
    <xf numFmtId="164" fontId="12" fillId="3" borderId="17" xfId="0" applyFont="1" applyFill="1" applyBorder="1" applyAlignment="1" applyProtection="1">
      <alignment horizontal="center" vertical="center"/>
      <protection locked="0"/>
    </xf>
    <xf numFmtId="164" fontId="12" fillId="3" borderId="55" xfId="0" applyFont="1" applyFill="1" applyBorder="1" applyAlignment="1" applyProtection="1">
      <alignment horizontal="left" vertical="center"/>
      <protection locked="0"/>
    </xf>
    <xf numFmtId="164" fontId="12" fillId="3" borderId="56" xfId="0" applyFont="1" applyFill="1" applyBorder="1" applyAlignment="1" applyProtection="1">
      <alignment horizontal="left" vertical="center"/>
      <protection locked="0"/>
    </xf>
    <xf numFmtId="164" fontId="12" fillId="3" borderId="56" xfId="0" applyFont="1" applyFill="1" applyBorder="1" applyAlignment="1">
      <alignment horizontal="left" vertical="center"/>
    </xf>
    <xf numFmtId="164" fontId="12" fillId="2" borderId="8" xfId="0" applyFont="1" applyFill="1" applyBorder="1" applyAlignment="1">
      <alignment horizontal="left" vertical="center"/>
    </xf>
    <xf numFmtId="164" fontId="12" fillId="2" borderId="0" xfId="0" applyFont="1" applyFill="1" applyBorder="1" applyAlignment="1">
      <alignment horizontal="left" vertical="center"/>
    </xf>
    <xf numFmtId="164" fontId="9" fillId="2" borderId="0" xfId="0" applyFont="1" applyFill="1" applyBorder="1" applyAlignment="1">
      <alignment horizontal="left" vertical="center"/>
    </xf>
    <xf numFmtId="164" fontId="9" fillId="2" borderId="0" xfId="0" applyFont="1" applyFill="1" applyBorder="1" applyAlignment="1">
      <alignment horizontal="right"/>
    </xf>
    <xf numFmtId="164" fontId="9" fillId="2" borderId="0" xfId="0" applyFont="1" applyFill="1" applyBorder="1" applyAlignment="1">
      <alignment horizontal="left"/>
    </xf>
    <xf numFmtId="164" fontId="1" fillId="2" borderId="0" xfId="0" applyFont="1" applyFill="1" applyBorder="1" applyAlignment="1">
      <alignment/>
    </xf>
    <xf numFmtId="164" fontId="12" fillId="3" borderId="49" xfId="0" applyFont="1" applyFill="1" applyBorder="1" applyAlignment="1" applyProtection="1">
      <alignment horizontal="center" vertical="center"/>
      <protection locked="0"/>
    </xf>
    <xf numFmtId="164" fontId="12" fillId="3" borderId="50" xfId="0" applyFont="1" applyFill="1" applyBorder="1" applyAlignment="1" applyProtection="1">
      <alignment vertical="center"/>
      <protection locked="0"/>
    </xf>
    <xf numFmtId="164" fontId="12" fillId="3" borderId="14" xfId="0" applyFont="1" applyFill="1" applyBorder="1" applyAlignment="1" applyProtection="1">
      <alignment vertical="center"/>
      <protection locked="0"/>
    </xf>
    <xf numFmtId="164" fontId="12" fillId="3" borderId="57" xfId="0" applyFont="1" applyFill="1" applyBorder="1" applyAlignment="1" applyProtection="1">
      <alignment horizontal="left" vertical="center"/>
      <protection locked="0"/>
    </xf>
    <xf numFmtId="164" fontId="9" fillId="2" borderId="9" xfId="0" applyFont="1" applyFill="1" applyBorder="1" applyAlignment="1">
      <alignment horizontal="center" vertical="center"/>
    </xf>
    <xf numFmtId="164" fontId="9" fillId="2" borderId="50" xfId="0" applyFont="1" applyFill="1" applyBorder="1" applyAlignment="1">
      <alignment vertical="center"/>
    </xf>
    <xf numFmtId="164" fontId="9" fillId="2" borderId="0" xfId="0" applyFont="1" applyFill="1" applyBorder="1" applyAlignment="1">
      <alignment/>
    </xf>
    <xf numFmtId="174" fontId="12" fillId="3" borderId="12" xfId="0" applyNumberFormat="1" applyFont="1" applyFill="1" applyBorder="1" applyAlignment="1" applyProtection="1">
      <alignment horizontal="center" vertical="center"/>
      <protection locked="0"/>
    </xf>
    <xf numFmtId="164" fontId="12" fillId="3" borderId="49" xfId="0" applyFont="1" applyFill="1" applyBorder="1" applyAlignment="1" applyProtection="1">
      <alignment vertical="center"/>
      <protection locked="0"/>
    </xf>
    <xf numFmtId="164" fontId="12" fillId="3" borderId="17" xfId="0" applyFont="1" applyFill="1" applyBorder="1" applyAlignment="1" applyProtection="1">
      <alignment vertical="center"/>
      <protection locked="0"/>
    </xf>
    <xf numFmtId="164" fontId="12" fillId="3" borderId="49" xfId="0" applyFont="1" applyFill="1" applyBorder="1" applyAlignment="1">
      <alignment vertical="center"/>
    </xf>
    <xf numFmtId="164" fontId="12" fillId="3" borderId="50" xfId="0" applyFont="1" applyFill="1" applyBorder="1" applyAlignment="1">
      <alignment vertical="center"/>
    </xf>
    <xf numFmtId="164" fontId="1" fillId="3" borderId="12" xfId="0" applyFont="1" applyFill="1" applyBorder="1" applyAlignment="1">
      <alignment vertical="center"/>
    </xf>
    <xf numFmtId="174" fontId="12" fillId="2" borderId="43" xfId="0" applyNumberFormat="1" applyFont="1" applyFill="1" applyBorder="1" applyAlignment="1" applyProtection="1">
      <alignment horizontal="center" vertical="center"/>
      <protection locked="0"/>
    </xf>
    <xf numFmtId="164" fontId="12" fillId="2" borderId="43" xfId="0" applyFont="1" applyFill="1" applyBorder="1" applyAlignment="1" applyProtection="1">
      <alignment vertical="center"/>
      <protection locked="0"/>
    </xf>
    <xf numFmtId="164" fontId="9" fillId="2" borderId="8" xfId="0" applyFont="1" applyFill="1" applyBorder="1" applyAlignment="1">
      <alignment vertical="center"/>
    </xf>
    <xf numFmtId="164" fontId="9" fillId="2" borderId="37" xfId="0" applyFont="1" applyFill="1" applyBorder="1" applyAlignment="1">
      <alignment vertical="center"/>
    </xf>
    <xf numFmtId="164" fontId="9" fillId="2" borderId="33" xfId="0" applyFont="1" applyFill="1" applyBorder="1" applyAlignment="1">
      <alignment vertical="center"/>
    </xf>
    <xf numFmtId="164" fontId="9" fillId="2" borderId="34" xfId="0" applyFont="1" applyFill="1" applyBorder="1" applyAlignment="1">
      <alignment vertical="center"/>
    </xf>
    <xf numFmtId="164" fontId="9" fillId="0" borderId="0" xfId="0" applyFont="1" applyAlignment="1">
      <alignment/>
    </xf>
    <xf numFmtId="164" fontId="15" fillId="0" borderId="0" xfId="0" applyFont="1" applyAlignment="1">
      <alignment/>
    </xf>
    <xf numFmtId="164" fontId="1" fillId="3" borderId="12" xfId="0" applyFont="1" applyFill="1" applyBorder="1" applyAlignment="1">
      <alignment horizontal="center" vertical="center"/>
    </xf>
    <xf numFmtId="164" fontId="1" fillId="3" borderId="55" xfId="0" applyFont="1" applyFill="1" applyBorder="1" applyAlignment="1">
      <alignment horizontal="center" vertical="center"/>
    </xf>
    <xf numFmtId="164" fontId="12" fillId="3" borderId="55" xfId="0" applyFont="1" applyFill="1" applyBorder="1" applyAlignment="1">
      <alignment horizontal="left" vertical="center"/>
    </xf>
    <xf numFmtId="164" fontId="10" fillId="2" borderId="51" xfId="0" applyFont="1" applyFill="1" applyBorder="1" applyAlignment="1">
      <alignment vertical="center"/>
    </xf>
    <xf numFmtId="164" fontId="10" fillId="2" borderId="47" xfId="0" applyFont="1" applyFill="1" applyBorder="1" applyAlignment="1">
      <alignment vertical="center"/>
    </xf>
    <xf numFmtId="164" fontId="10" fillId="2" borderId="11" xfId="0" applyFont="1" applyFill="1" applyBorder="1" applyAlignment="1">
      <alignment vertical="center"/>
    </xf>
    <xf numFmtId="164" fontId="10" fillId="2" borderId="8" xfId="0" applyFont="1" applyFill="1" applyBorder="1" applyAlignment="1">
      <alignment vertical="center"/>
    </xf>
    <xf numFmtId="164" fontId="10" fillId="2" borderId="0" xfId="0" applyFont="1" applyFill="1" applyBorder="1" applyAlignment="1">
      <alignment vertical="center"/>
    </xf>
    <xf numFmtId="164" fontId="10" fillId="2" borderId="37" xfId="0" applyFont="1" applyFill="1" applyBorder="1" applyAlignment="1">
      <alignment vertical="center"/>
    </xf>
    <xf numFmtId="164" fontId="10" fillId="2" borderId="44" xfId="0" applyFont="1" applyFill="1" applyBorder="1" applyAlignment="1">
      <alignment vertical="center"/>
    </xf>
    <xf numFmtId="164" fontId="10" fillId="2" borderId="35" xfId="0" applyFont="1" applyFill="1" applyBorder="1" applyAlignment="1">
      <alignment vertical="center"/>
    </xf>
    <xf numFmtId="164" fontId="10" fillId="2" borderId="58" xfId="0" applyFont="1" applyFill="1" applyBorder="1" applyAlignment="1">
      <alignment vertical="center"/>
    </xf>
    <xf numFmtId="164" fontId="1" fillId="2" borderId="21" xfId="0" applyFont="1" applyFill="1" applyBorder="1" applyAlignment="1">
      <alignment vertical="center"/>
    </xf>
    <xf numFmtId="164" fontId="1" fillId="2" borderId="35" xfId="0" applyFont="1" applyFill="1" applyBorder="1" applyAlignment="1">
      <alignment vertical="center"/>
    </xf>
    <xf numFmtId="164" fontId="1" fillId="2" borderId="36" xfId="0" applyFont="1" applyFill="1" applyBorder="1" applyAlignment="1">
      <alignment vertical="center"/>
    </xf>
    <xf numFmtId="164" fontId="4" fillId="0" borderId="0" xfId="0" applyFont="1" applyAlignment="1">
      <alignment/>
    </xf>
    <xf numFmtId="164" fontId="13" fillId="0" borderId="0" xfId="0" applyFont="1" applyAlignment="1" applyProtection="1">
      <alignment/>
      <protection/>
    </xf>
    <xf numFmtId="164" fontId="16" fillId="0" borderId="0" xfId="0" applyFont="1" applyBorder="1" applyAlignment="1" applyProtection="1">
      <alignment horizontal="center"/>
      <protection/>
    </xf>
    <xf numFmtId="164" fontId="16" fillId="0" borderId="0" xfId="0" applyFont="1" applyAlignment="1" applyProtection="1">
      <alignment horizontal="center"/>
      <protection/>
    </xf>
    <xf numFmtId="164" fontId="17" fillId="0" borderId="0" xfId="0" applyFont="1" applyAlignment="1" applyProtection="1">
      <alignment horizontal="center"/>
      <protection/>
    </xf>
    <xf numFmtId="164" fontId="18" fillId="0" borderId="0" xfId="0" applyFont="1" applyAlignment="1" applyProtection="1">
      <alignment/>
      <protection/>
    </xf>
    <xf numFmtId="164" fontId="12" fillId="0" borderId="0" xfId="0" applyFont="1" applyAlignment="1" applyProtection="1">
      <alignment horizontal="center"/>
      <protection/>
    </xf>
    <xf numFmtId="164" fontId="19" fillId="2" borderId="45" xfId="0" applyFont="1" applyFill="1" applyBorder="1" applyAlignment="1" applyProtection="1">
      <alignment horizontal="center" vertical="center"/>
      <protection/>
    </xf>
    <xf numFmtId="164" fontId="0" fillId="0" borderId="0" xfId="0" applyFont="1" applyBorder="1" applyAlignment="1" applyProtection="1">
      <alignment horizontal="center"/>
      <protection/>
    </xf>
    <xf numFmtId="164" fontId="0" fillId="0" borderId="0" xfId="0" applyFont="1" applyBorder="1" applyAlignment="1" applyProtection="1">
      <alignment/>
      <protection/>
    </xf>
    <xf numFmtId="164" fontId="0" fillId="0" borderId="0" xfId="0" applyFont="1" applyFill="1" applyBorder="1" applyAlignment="1" applyProtection="1">
      <alignment horizontal="center"/>
      <protection/>
    </xf>
    <xf numFmtId="164" fontId="20" fillId="2" borderId="8" xfId="0" applyFont="1" applyFill="1" applyBorder="1" applyAlignment="1" applyProtection="1">
      <alignment horizontal="left"/>
      <protection/>
    </xf>
    <xf numFmtId="164" fontId="14" fillId="2" borderId="0" xfId="0" applyFont="1" applyFill="1" applyBorder="1" applyAlignment="1" applyProtection="1">
      <alignment horizontal="left"/>
      <protection/>
    </xf>
    <xf numFmtId="164" fontId="12" fillId="2" borderId="27" xfId="0" applyFont="1" applyFill="1" applyBorder="1" applyAlignment="1" applyProtection="1">
      <alignment horizontal="center" vertical="center"/>
      <protection/>
    </xf>
    <xf numFmtId="164" fontId="12" fillId="2" borderId="11" xfId="0" applyFont="1" applyFill="1" applyBorder="1" applyAlignment="1" applyProtection="1">
      <alignment horizontal="center" vertical="center"/>
      <protection/>
    </xf>
    <xf numFmtId="164" fontId="12" fillId="2" borderId="48" xfId="0" applyFont="1" applyFill="1" applyBorder="1" applyAlignment="1" applyProtection="1">
      <alignment horizontal="center" vertical="center"/>
      <protection/>
    </xf>
    <xf numFmtId="164" fontId="21" fillId="4" borderId="59" xfId="0" applyFont="1" applyFill="1" applyBorder="1" applyAlignment="1" applyProtection="1">
      <alignment horizontal="right" vertical="center"/>
      <protection/>
    </xf>
    <xf numFmtId="164" fontId="22" fillId="4" borderId="12" xfId="0" applyFont="1" applyFill="1" applyBorder="1" applyAlignment="1" applyProtection="1">
      <alignment horizontal="center" vertical="center"/>
      <protection/>
    </xf>
    <xf numFmtId="164" fontId="12" fillId="2" borderId="18" xfId="0" applyFont="1" applyFill="1" applyBorder="1" applyAlignment="1" applyProtection="1">
      <alignment horizontal="center" vertical="center"/>
      <protection/>
    </xf>
    <xf numFmtId="164" fontId="12" fillId="2" borderId="53" xfId="0" applyFont="1" applyFill="1" applyBorder="1" applyAlignment="1" applyProtection="1">
      <alignment horizontal="center" vertical="center"/>
      <protection/>
    </xf>
    <xf numFmtId="164" fontId="12" fillId="2" borderId="54" xfId="0" applyFont="1" applyFill="1" applyBorder="1" applyAlignment="1" applyProtection="1">
      <alignment horizontal="center" vertical="center"/>
      <protection/>
    </xf>
    <xf numFmtId="164" fontId="23" fillId="0" borderId="9" xfId="0" applyFont="1" applyBorder="1" applyAlignment="1" applyProtection="1">
      <alignment vertical="center"/>
      <protection/>
    </xf>
    <xf numFmtId="164" fontId="13" fillId="0" borderId="50" xfId="0" applyFont="1" applyBorder="1" applyAlignment="1" applyProtection="1">
      <alignment/>
      <protection/>
    </xf>
    <xf numFmtId="175" fontId="24" fillId="0" borderId="12" xfId="0" applyNumberFormat="1" applyFont="1" applyBorder="1" applyAlignment="1" applyProtection="1">
      <alignment horizontal="center" vertical="center"/>
      <protection/>
    </xf>
    <xf numFmtId="176" fontId="14" fillId="0" borderId="17" xfId="0" applyNumberFormat="1" applyFont="1" applyBorder="1" applyAlignment="1" applyProtection="1">
      <alignment horizontal="center" vertical="center"/>
      <protection/>
    </xf>
    <xf numFmtId="175" fontId="25" fillId="0" borderId="14" xfId="0" applyNumberFormat="1" applyFont="1" applyBorder="1" applyAlignment="1" applyProtection="1">
      <alignment horizontal="center" vertical="center"/>
      <protection/>
    </xf>
    <xf numFmtId="164" fontId="10" fillId="0" borderId="0" xfId="0" applyFont="1" applyAlignment="1" applyProtection="1">
      <alignment/>
      <protection/>
    </xf>
    <xf numFmtId="164" fontId="26" fillId="0" borderId="9" xfId="0" applyFont="1" applyBorder="1" applyAlignment="1" applyProtection="1">
      <alignment vertical="center"/>
      <protection/>
    </xf>
    <xf numFmtId="164" fontId="27" fillId="0" borderId="17" xfId="0" applyFont="1" applyBorder="1" applyAlignment="1" applyProtection="1">
      <alignment horizontal="center"/>
      <protection/>
    </xf>
    <xf numFmtId="175" fontId="28" fillId="0" borderId="12" xfId="0" applyNumberFormat="1" applyFont="1" applyBorder="1" applyAlignment="1" applyProtection="1">
      <alignment horizontal="center" vertical="center"/>
      <protection locked="0"/>
    </xf>
    <xf numFmtId="175" fontId="14" fillId="0" borderId="17" xfId="0" applyNumberFormat="1" applyFont="1" applyBorder="1" applyAlignment="1" applyProtection="1">
      <alignment horizontal="center" vertical="center"/>
      <protection/>
    </xf>
    <xf numFmtId="164" fontId="29" fillId="0" borderId="50" xfId="0" applyFont="1" applyBorder="1" applyAlignment="1" applyProtection="1">
      <alignment/>
      <protection/>
    </xf>
    <xf numFmtId="175" fontId="0" fillId="0" borderId="0" xfId="0" applyNumberFormat="1" applyFont="1" applyBorder="1" applyAlignment="1" applyProtection="1">
      <alignment horizontal="center"/>
      <protection/>
    </xf>
    <xf numFmtId="164" fontId="23" fillId="0" borderId="9" xfId="0" applyFont="1" applyBorder="1" applyAlignment="1" applyProtection="1">
      <alignment horizontal="right" vertical="center"/>
      <protection/>
    </xf>
    <xf numFmtId="175" fontId="30" fillId="0" borderId="12" xfId="0" applyNumberFormat="1" applyFont="1" applyBorder="1" applyAlignment="1" applyProtection="1">
      <alignment horizontal="center" vertical="center"/>
      <protection/>
    </xf>
    <xf numFmtId="176" fontId="0" fillId="0" borderId="0" xfId="0" applyNumberFormat="1" applyFont="1" applyBorder="1" applyAlignment="1" applyProtection="1">
      <alignment horizontal="center"/>
      <protection/>
    </xf>
    <xf numFmtId="175" fontId="0" fillId="3" borderId="0" xfId="0" applyNumberFormat="1" applyFont="1" applyFill="1" applyBorder="1" applyAlignment="1" applyProtection="1">
      <alignment horizontal="center"/>
      <protection/>
    </xf>
    <xf numFmtId="175" fontId="0" fillId="0" borderId="0" xfId="0" applyNumberFormat="1" applyAlignment="1" applyProtection="1">
      <alignment/>
      <protection/>
    </xf>
    <xf numFmtId="177" fontId="28" fillId="0" borderId="12" xfId="0" applyNumberFormat="1" applyFont="1" applyBorder="1" applyAlignment="1" applyProtection="1">
      <alignment vertical="center"/>
      <protection locked="0"/>
    </xf>
    <xf numFmtId="164" fontId="0" fillId="0" borderId="0" xfId="0" applyFont="1" applyAlignment="1" applyProtection="1">
      <alignment horizontal="center"/>
      <protection/>
    </xf>
    <xf numFmtId="164" fontId="0" fillId="3" borderId="0" xfId="0" applyFont="1" applyFill="1" applyBorder="1" applyAlignment="1" applyProtection="1">
      <alignment horizontal="center"/>
      <protection/>
    </xf>
    <xf numFmtId="164" fontId="31" fillId="0" borderId="59" xfId="0" applyFont="1" applyBorder="1" applyAlignment="1" applyProtection="1">
      <alignment horizontal="left" vertical="center"/>
      <protection/>
    </xf>
    <xf numFmtId="178" fontId="28" fillId="0" borderId="50" xfId="0" applyNumberFormat="1" applyFont="1" applyBorder="1" applyAlignment="1" applyProtection="1">
      <alignment horizontal="right" vertical="center"/>
      <protection locked="0"/>
    </xf>
    <xf numFmtId="164" fontId="32" fillId="3" borderId="0" xfId="0" applyFont="1" applyFill="1" applyBorder="1" applyAlignment="1" applyProtection="1">
      <alignment horizontal="left"/>
      <protection/>
    </xf>
    <xf numFmtId="164" fontId="33" fillId="0" borderId="9" xfId="0" applyFont="1" applyBorder="1" applyAlignment="1" applyProtection="1">
      <alignment horizontal="left" vertical="center"/>
      <protection/>
    </xf>
    <xf numFmtId="164" fontId="29" fillId="0" borderId="50" xfId="0" applyFont="1" applyBorder="1" applyAlignment="1" applyProtection="1">
      <alignment horizontal="left"/>
      <protection/>
    </xf>
    <xf numFmtId="175" fontId="34" fillId="0" borderId="12" xfId="0" applyNumberFormat="1" applyFont="1" applyBorder="1" applyAlignment="1" applyProtection="1">
      <alignment horizontal="center" vertical="center"/>
      <protection/>
    </xf>
    <xf numFmtId="175" fontId="25" fillId="0" borderId="17" xfId="0" applyNumberFormat="1" applyFont="1" applyBorder="1" applyAlignment="1" applyProtection="1">
      <alignment horizontal="center" vertical="center"/>
      <protection/>
    </xf>
    <xf numFmtId="164" fontId="26" fillId="0" borderId="15" xfId="0" applyFont="1" applyBorder="1" applyAlignment="1" applyProtection="1">
      <alignment horizontal="left" vertical="center"/>
      <protection/>
    </xf>
    <xf numFmtId="164" fontId="12" fillId="0" borderId="39" xfId="0" applyFont="1" applyBorder="1" applyAlignment="1" applyProtection="1">
      <alignment horizontal="left"/>
      <protection/>
    </xf>
    <xf numFmtId="175" fontId="26" fillId="0" borderId="29" xfId="0" applyNumberFormat="1" applyFont="1" applyBorder="1" applyAlignment="1" applyProtection="1">
      <alignment horizontal="center" vertical="center"/>
      <protection/>
    </xf>
    <xf numFmtId="175" fontId="12" fillId="2" borderId="60" xfId="0" applyNumberFormat="1" applyFont="1" applyFill="1" applyBorder="1" applyAlignment="1" applyProtection="1">
      <alignment horizontal="center" vertical="center"/>
      <protection/>
    </xf>
    <xf numFmtId="175" fontId="35" fillId="0" borderId="16" xfId="0" applyNumberFormat="1" applyFont="1" applyBorder="1" applyAlignment="1" applyProtection="1">
      <alignment horizontal="center" vertical="center"/>
      <protection/>
    </xf>
    <xf numFmtId="164" fontId="32" fillId="0" borderId="0" xfId="0" applyFont="1" applyAlignment="1" applyProtection="1">
      <alignment vertical="top"/>
      <protection/>
    </xf>
    <xf numFmtId="175" fontId="10" fillId="0" borderId="0" xfId="0" applyNumberFormat="1" applyFont="1" applyBorder="1" applyAlignment="1" applyProtection="1">
      <alignment horizontal="center"/>
      <protection/>
    </xf>
    <xf numFmtId="164" fontId="23" fillId="0" borderId="15" xfId="0" applyFont="1" applyBorder="1" applyAlignment="1" applyProtection="1">
      <alignment horizontal="left" vertical="center"/>
      <protection/>
    </xf>
    <xf numFmtId="164" fontId="13" fillId="0" borderId="39" xfId="0" applyFont="1" applyBorder="1" applyAlignment="1" applyProtection="1">
      <alignment horizontal="left"/>
      <protection/>
    </xf>
    <xf numFmtId="175" fontId="30" fillId="0" borderId="29" xfId="0" applyNumberFormat="1" applyFont="1" applyBorder="1" applyAlignment="1" applyProtection="1">
      <alignment horizontal="center" vertical="center"/>
      <protection/>
    </xf>
    <xf numFmtId="175" fontId="14" fillId="0" borderId="60" xfId="0" applyNumberFormat="1" applyFont="1" applyBorder="1" applyAlignment="1" applyProtection="1">
      <alignment horizontal="center" vertical="center"/>
      <protection/>
    </xf>
    <xf numFmtId="175" fontId="14" fillId="0" borderId="16" xfId="0" applyNumberFormat="1" applyFont="1" applyBorder="1" applyAlignment="1" applyProtection="1">
      <alignment horizontal="center" vertical="center"/>
      <protection/>
    </xf>
    <xf numFmtId="179" fontId="0" fillId="0" borderId="0" xfId="0" applyNumberFormat="1" applyBorder="1" applyAlignment="1" applyProtection="1">
      <alignment/>
      <protection/>
    </xf>
    <xf numFmtId="164" fontId="36" fillId="3" borderId="15" xfId="0" applyFont="1" applyFill="1" applyBorder="1" applyAlignment="1" applyProtection="1">
      <alignment horizontal="left" vertical="center"/>
      <protection/>
    </xf>
    <xf numFmtId="164" fontId="5" fillId="3" borderId="39" xfId="0" applyFont="1" applyFill="1" applyBorder="1" applyAlignment="1" applyProtection="1">
      <alignment horizontal="left"/>
      <protection/>
    </xf>
    <xf numFmtId="175" fontId="37" fillId="3" borderId="29" xfId="0" applyNumberFormat="1" applyFont="1" applyFill="1" applyBorder="1" applyAlignment="1" applyProtection="1">
      <alignment horizontal="center" vertical="center"/>
      <protection/>
    </xf>
    <xf numFmtId="176" fontId="38" fillId="2" borderId="60" xfId="0" applyNumberFormat="1" applyFont="1" applyFill="1" applyBorder="1" applyAlignment="1" applyProtection="1">
      <alignment horizontal="center" vertical="center"/>
      <protection/>
    </xf>
    <xf numFmtId="164" fontId="23" fillId="0" borderId="1" xfId="0" applyFont="1" applyBorder="1" applyAlignment="1" applyProtection="1">
      <alignment vertical="center"/>
      <protection/>
    </xf>
    <xf numFmtId="164" fontId="13" fillId="0" borderId="3" xfId="0" applyFont="1" applyBorder="1" applyAlignment="1" applyProtection="1">
      <alignment/>
      <protection/>
    </xf>
    <xf numFmtId="175" fontId="39" fillId="0" borderId="61" xfId="0" applyNumberFormat="1" applyFont="1" applyBorder="1" applyAlignment="1" applyProtection="1">
      <alignment horizontal="center" vertical="center"/>
      <protection/>
    </xf>
    <xf numFmtId="175" fontId="40" fillId="3" borderId="0" xfId="0" applyNumberFormat="1" applyFont="1" applyFill="1" applyBorder="1" applyAlignment="1" applyProtection="1">
      <alignment horizontal="center" vertical="center"/>
      <protection/>
    </xf>
    <xf numFmtId="164" fontId="23" fillId="0" borderId="8" xfId="0" applyFont="1" applyBorder="1" applyAlignment="1" applyProtection="1">
      <alignment horizontal="left" vertical="center"/>
      <protection/>
    </xf>
    <xf numFmtId="164" fontId="12" fillId="0" borderId="37" xfId="0" applyFont="1" applyBorder="1" applyAlignment="1" applyProtection="1">
      <alignment horizontal="left"/>
      <protection/>
    </xf>
    <xf numFmtId="176" fontId="30" fillId="0" borderId="7" xfId="0" applyNumberFormat="1" applyFont="1" applyBorder="1" applyAlignment="1" applyProtection="1">
      <alignment horizontal="center" vertical="center"/>
      <protection/>
    </xf>
    <xf numFmtId="164" fontId="24" fillId="3" borderId="51" xfId="0" applyFont="1" applyFill="1" applyBorder="1" applyAlignment="1" applyProtection="1">
      <alignment horizontal="left" vertical="center"/>
      <protection/>
    </xf>
    <xf numFmtId="177" fontId="28" fillId="0" borderId="12" xfId="0" applyNumberFormat="1" applyFont="1" applyBorder="1" applyAlignment="1" applyProtection="1">
      <alignment horizontal="center" vertical="center"/>
      <protection locked="0"/>
    </xf>
    <xf numFmtId="175" fontId="30" fillId="0" borderId="55" xfId="0" applyNumberFormat="1" applyFont="1" applyBorder="1" applyAlignment="1" applyProtection="1">
      <alignment horizontal="center" vertical="center"/>
      <protection/>
    </xf>
    <xf numFmtId="175" fontId="14" fillId="0" borderId="24" xfId="0" applyNumberFormat="1" applyFont="1" applyBorder="1" applyAlignment="1" applyProtection="1">
      <alignment horizontal="center" vertical="center"/>
      <protection/>
    </xf>
    <xf numFmtId="175" fontId="25" fillId="0" borderId="61" xfId="0" applyNumberFormat="1" applyFont="1" applyBorder="1" applyAlignment="1" applyProtection="1">
      <alignment horizontal="center" vertical="center"/>
      <protection/>
    </xf>
    <xf numFmtId="164" fontId="41" fillId="3" borderId="19" xfId="0" applyFont="1" applyFill="1" applyBorder="1" applyAlignment="1" applyProtection="1">
      <alignment horizontal="left" vertical="center"/>
      <protection/>
    </xf>
    <xf numFmtId="164" fontId="42" fillId="0" borderId="62" xfId="0" applyFont="1" applyBorder="1" applyAlignment="1" applyProtection="1">
      <alignment/>
      <protection/>
    </xf>
    <xf numFmtId="175" fontId="43" fillId="0" borderId="63" xfId="0" applyNumberFormat="1" applyFont="1" applyBorder="1" applyAlignment="1" applyProtection="1">
      <alignment horizontal="center" vertical="center"/>
      <protection/>
    </xf>
    <xf numFmtId="176" fontId="43" fillId="0" borderId="64" xfId="0" applyNumberFormat="1" applyFont="1" applyBorder="1" applyAlignment="1" applyProtection="1">
      <alignment horizontal="center" vertical="center"/>
      <protection/>
    </xf>
    <xf numFmtId="175" fontId="35" fillId="0" borderId="63" xfId="0" applyNumberFormat="1" applyFont="1" applyBorder="1" applyAlignment="1" applyProtection="1">
      <alignment horizontal="center" vertical="center"/>
      <protection/>
    </xf>
    <xf numFmtId="164" fontId="0" fillId="0" borderId="0" xfId="0" applyBorder="1" applyAlignment="1">
      <alignment/>
    </xf>
    <xf numFmtId="164" fontId="44" fillId="0" borderId="0" xfId="0" applyFont="1" applyBorder="1" applyAlignment="1">
      <alignment horizontal="center" vertical="center"/>
    </xf>
    <xf numFmtId="164" fontId="0" fillId="0" borderId="0" xfId="0" applyBorder="1" applyAlignment="1">
      <alignment/>
    </xf>
    <xf numFmtId="164" fontId="13" fillId="0" borderId="0" xfId="0" applyFont="1" applyBorder="1" applyAlignment="1" applyProtection="1">
      <alignment horizontal="center" vertical="center"/>
      <protection/>
    </xf>
    <xf numFmtId="164" fontId="10" fillId="0" borderId="0" xfId="0" applyFont="1" applyBorder="1" applyAlignment="1" applyProtection="1">
      <alignment horizontal="center" vertical="center"/>
      <protection/>
    </xf>
    <xf numFmtId="164" fontId="45" fillId="0" borderId="0" xfId="0" applyFont="1" applyFill="1" applyBorder="1" applyAlignment="1" applyProtection="1">
      <alignment/>
      <protection/>
    </xf>
    <xf numFmtId="164" fontId="46" fillId="0" borderId="0" xfId="0" applyFont="1" applyAlignment="1" applyProtection="1">
      <alignment/>
      <protection/>
    </xf>
    <xf numFmtId="164" fontId="18" fillId="0" borderId="0" xfId="0" applyFont="1" applyAlignment="1" applyProtection="1">
      <alignment horizontal="left" vertical="center"/>
      <protection/>
    </xf>
    <xf numFmtId="164" fontId="46" fillId="0" borderId="0" xfId="0" applyFont="1" applyBorder="1" applyAlignment="1" applyProtection="1">
      <alignment horizontal="center"/>
      <protection/>
    </xf>
    <xf numFmtId="164" fontId="18" fillId="0" borderId="0" xfId="0" applyFont="1" applyAlignment="1" applyProtection="1">
      <alignment horizontal="right"/>
      <protection/>
    </xf>
    <xf numFmtId="180" fontId="46" fillId="0" borderId="0" xfId="0" applyNumberFormat="1" applyFont="1" applyAlignment="1" applyProtection="1">
      <alignment/>
      <protection/>
    </xf>
    <xf numFmtId="164" fontId="18" fillId="0" borderId="0" xfId="0" applyFont="1" applyBorder="1" applyAlignment="1" applyProtection="1">
      <alignment horizontal="right" vertical="center"/>
      <protection/>
    </xf>
    <xf numFmtId="164" fontId="18" fillId="0" borderId="0" xfId="0" applyFont="1" applyBorder="1" applyAlignment="1" applyProtection="1">
      <alignment horizontal="left" vertical="center"/>
      <protection/>
    </xf>
    <xf numFmtId="164" fontId="18" fillId="0" borderId="0" xfId="0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b/>
        <i val="0"/>
        <color rgb="FF3333CC"/>
      </font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9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996666"/>
      <rgbColor rgb="00969696"/>
      <rgbColor rgb="00003366"/>
      <rgbColor rgb="00339933"/>
      <rgbColor rgb="00003300"/>
      <rgbColor rgb="00333300"/>
      <rgbColor rgb="00993300"/>
      <rgbColor rgb="00993366"/>
      <rgbColor rgb="003333CC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Limites de centrage</a:t>
            </a:r>
          </a:p>
        </c:rich>
      </c:tx>
      <c:layout>
        <c:manualLayout>
          <c:xMode val="factor"/>
          <c:yMode val="factor"/>
          <c:x val="0.037"/>
          <c:y val="0.05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4"/>
          <c:y val="0.067"/>
          <c:w val="0.8305"/>
          <c:h val="0.804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'DEVIS DE MASSE ALLER'!$K$5</c:f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'DEVIS DE MASSE ALLER'!$I$6:$I$11</c:f>
              <c:numCache/>
            </c:numRef>
          </c:xVal>
          <c:yVal>
            <c:numRef>
              <c:f>'DEVIS DE MASSE ALLER'!$K$6:$K$14</c:f>
              <c:numCache/>
            </c:numRef>
          </c:yVal>
          <c:smooth val="0"/>
        </c:ser>
        <c:ser>
          <c:idx val="1"/>
          <c:order val="1"/>
          <c:tx>
            <c:strRef>
              <c:f>'DEVIS DE MASSE ALLER'!$L$5</c:f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linear"/>
            <c:dispEq val="0"/>
            <c:dispRSqr val="0"/>
          </c:trendline>
          <c:xVal>
            <c:numRef>
              <c:f>'DEVIS DE MASSE ALLER'!$I$6:$I$15</c:f>
              <c:numCache/>
            </c:numRef>
          </c:xVal>
          <c:yVal>
            <c:numRef>
              <c:f>'DEVIS DE MASSE ALLER'!$L$6:$L$15</c:f>
              <c:numCache/>
            </c:numRef>
          </c:yVal>
          <c:smooth val="0"/>
        </c:ser>
        <c:ser>
          <c:idx val="2"/>
          <c:order val="2"/>
          <c:tx>
            <c:strRef>
              <c:f>'DEVIS DE MASSE ALLER'!$M$5</c:f>
            </c:strRef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xVal>
            <c:numRef>
              <c:f>'DEVIS DE MASSE ALLER'!$J$6:$J$15</c:f>
              <c:numCache/>
            </c:numRef>
          </c:xVal>
          <c:yVal>
            <c:numRef>
              <c:f>'DEVIS DE MASSE ALLER'!$M$6:$M$15</c:f>
              <c:numCache/>
            </c:numRef>
          </c:yVal>
          <c:smooth val="0"/>
        </c:ser>
        <c:axId val="62023243"/>
        <c:axId val="21338276"/>
      </c:scatterChart>
      <c:valAx>
        <c:axId val="62023243"/>
        <c:scaling>
          <c:orientation val="minMax"/>
          <c:max val="0.65"/>
          <c:min val="0.2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Bras de levier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0" sourceLinked="0"/>
        <c:majorTickMark val="out"/>
        <c:minorTickMark val="out"/>
        <c:tickLblPos val="nextTo"/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338276"/>
        <c:crossesAt val="500"/>
        <c:crossBetween val="midCat"/>
        <c:dispUnits/>
      </c:valAx>
      <c:valAx>
        <c:axId val="21338276"/>
        <c:scaling>
          <c:orientation val="minMax"/>
          <c:max val="1150"/>
          <c:min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Masse avion chargé (kg)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023243"/>
        <c:crossesAt val="0.85"/>
        <c:crossBetween val="midCat"/>
        <c:dispUnits/>
      </c:valAx>
      <c:spPr>
        <a:solidFill>
          <a:srgbClr val="C0C0C0"/>
        </a:solidFill>
        <a:ln w="38100">
          <a:solidFill>
            <a:srgbClr val="0000FF"/>
          </a:solidFill>
        </a:ln>
      </c:spPr>
    </c:plotArea>
    <c:plotVisOnly val="1"/>
    <c:dispBlanksAs val="gap"/>
    <c:showDLblsOverMax val="0"/>
  </c:chart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Limites de centrage</a:t>
            </a:r>
          </a:p>
        </c:rich>
      </c:tx>
      <c:layout>
        <c:manualLayout>
          <c:xMode val="factor"/>
          <c:yMode val="factor"/>
          <c:x val="0.037"/>
          <c:y val="0.05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4"/>
          <c:y val="0.067"/>
          <c:w val="0.8305"/>
          <c:h val="0.804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'DEVIS DE MASSE RETOUR'!$K$5</c:f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'DEVIS DE MASSE RETOUR'!$I$6:$I$11</c:f>
              <c:numCache/>
            </c:numRef>
          </c:xVal>
          <c:yVal>
            <c:numRef>
              <c:f>'DEVIS DE MASSE RETOUR'!$K$6:$K$14</c:f>
              <c:numCache/>
            </c:numRef>
          </c:yVal>
          <c:smooth val="0"/>
        </c:ser>
        <c:ser>
          <c:idx val="1"/>
          <c:order val="1"/>
          <c:tx>
            <c:strRef>
              <c:f>'DEVIS DE MASSE RETOUR'!$L$5</c:f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linear"/>
            <c:dispEq val="0"/>
            <c:dispRSqr val="0"/>
          </c:trendline>
          <c:xVal>
            <c:numRef>
              <c:f>'DEVIS DE MASSE RETOUR'!$I$6:$I$15</c:f>
              <c:numCache/>
            </c:numRef>
          </c:xVal>
          <c:yVal>
            <c:numRef>
              <c:f>'DEVIS DE MASSE RETOUR'!$L$6:$L$15</c:f>
              <c:numCache/>
            </c:numRef>
          </c:yVal>
          <c:smooth val="0"/>
        </c:ser>
        <c:ser>
          <c:idx val="2"/>
          <c:order val="2"/>
          <c:tx>
            <c:strRef>
              <c:f>'DEVIS DE MASSE RETOUR'!$M$5</c:f>
            </c:strRef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xVal>
            <c:numRef>
              <c:f>'DEVIS DE MASSE RETOUR'!$J$6:$J$15</c:f>
              <c:numCache/>
            </c:numRef>
          </c:xVal>
          <c:yVal>
            <c:numRef>
              <c:f>'DEVIS DE MASSE RETOUR'!$M$6:$M$15</c:f>
              <c:numCache/>
            </c:numRef>
          </c:yVal>
          <c:smooth val="0"/>
        </c:ser>
        <c:axId val="57826757"/>
        <c:axId val="50678766"/>
      </c:scatterChart>
      <c:valAx>
        <c:axId val="57826757"/>
        <c:scaling>
          <c:orientation val="minMax"/>
          <c:max val="0.65"/>
          <c:min val="0.2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Bras de levier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0" sourceLinked="0"/>
        <c:majorTickMark val="out"/>
        <c:minorTickMark val="out"/>
        <c:tickLblPos val="nextTo"/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678766"/>
        <c:crossesAt val="500"/>
        <c:crossBetween val="midCat"/>
        <c:dispUnits/>
      </c:valAx>
      <c:valAx>
        <c:axId val="50678766"/>
        <c:scaling>
          <c:orientation val="minMax"/>
          <c:max val="1150"/>
          <c:min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Masse avion chargé (kg)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826757"/>
        <c:crossesAt val="0.85"/>
        <c:crossBetween val="midCat"/>
        <c:dispUnits/>
      </c:valAx>
      <c:spPr>
        <a:solidFill>
          <a:srgbClr val="C0C0C0"/>
        </a:solidFill>
        <a:ln w="38100">
          <a:solidFill>
            <a:srgbClr val="0000FF"/>
          </a:solidFill>
        </a:ln>
      </c:spPr>
    </c:plotArea>
    <c:plotVisOnly val="1"/>
    <c:dispBlanksAs val="gap"/>
    <c:showDLblsOverMax val="0"/>
  </c:chart>
  <c:userShapes r:id="rId1"/>
  <c:date1904 val="1"/>
</chartSpace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352425</xdr:colOff>
      <xdr:row>0</xdr:row>
      <xdr:rowOff>19050</xdr:rowOff>
    </xdr:from>
    <xdr:to>
      <xdr:col>27</xdr:col>
      <xdr:colOff>495300</xdr:colOff>
      <xdr:row>0</xdr:row>
      <xdr:rowOff>152400</xdr:rowOff>
    </xdr:to>
    <xdr:sp>
      <xdr:nvSpPr>
        <xdr:cNvPr id="1" name="Line 11"/>
        <xdr:cNvSpPr>
          <a:spLocks/>
        </xdr:cNvSpPr>
      </xdr:nvSpPr>
      <xdr:spPr>
        <a:xfrm flipV="1">
          <a:off x="13839825" y="19050"/>
          <a:ext cx="142875" cy="1333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57150</xdr:colOff>
      <xdr:row>0</xdr:row>
      <xdr:rowOff>38100</xdr:rowOff>
    </xdr:from>
    <xdr:to>
      <xdr:col>28</xdr:col>
      <xdr:colOff>209550</xdr:colOff>
      <xdr:row>0</xdr:row>
      <xdr:rowOff>180975</xdr:rowOff>
    </xdr:to>
    <xdr:sp>
      <xdr:nvSpPr>
        <xdr:cNvPr id="2" name="Line 12"/>
        <xdr:cNvSpPr>
          <a:spLocks/>
        </xdr:cNvSpPr>
      </xdr:nvSpPr>
      <xdr:spPr>
        <a:xfrm>
          <a:off x="14077950" y="38100"/>
          <a:ext cx="142875" cy="1428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361950</xdr:colOff>
      <xdr:row>0</xdr:row>
      <xdr:rowOff>19050</xdr:rowOff>
    </xdr:from>
    <xdr:to>
      <xdr:col>29</xdr:col>
      <xdr:colOff>514350</xdr:colOff>
      <xdr:row>0</xdr:row>
      <xdr:rowOff>161925</xdr:rowOff>
    </xdr:to>
    <xdr:sp>
      <xdr:nvSpPr>
        <xdr:cNvPr id="3" name="Line 13"/>
        <xdr:cNvSpPr>
          <a:spLocks/>
        </xdr:cNvSpPr>
      </xdr:nvSpPr>
      <xdr:spPr>
        <a:xfrm flipV="1">
          <a:off x="14916150" y="19050"/>
          <a:ext cx="152400" cy="1428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47625</xdr:colOff>
      <xdr:row>0</xdr:row>
      <xdr:rowOff>38100</xdr:rowOff>
    </xdr:from>
    <xdr:to>
      <xdr:col>30</xdr:col>
      <xdr:colOff>190500</xdr:colOff>
      <xdr:row>0</xdr:row>
      <xdr:rowOff>180975</xdr:rowOff>
    </xdr:to>
    <xdr:sp>
      <xdr:nvSpPr>
        <xdr:cNvPr id="4" name="Line 14"/>
        <xdr:cNvSpPr>
          <a:spLocks/>
        </xdr:cNvSpPr>
      </xdr:nvSpPr>
      <xdr:spPr>
        <a:xfrm>
          <a:off x="15135225" y="38100"/>
          <a:ext cx="142875" cy="1428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47625</xdr:colOff>
      <xdr:row>2</xdr:row>
      <xdr:rowOff>47625</xdr:rowOff>
    </xdr:from>
    <xdr:to>
      <xdr:col>45</xdr:col>
      <xdr:colOff>238125</xdr:colOff>
      <xdr:row>2</xdr:row>
      <xdr:rowOff>142875</xdr:rowOff>
    </xdr:to>
    <xdr:sp>
      <xdr:nvSpPr>
        <xdr:cNvPr id="5" name="Line 17"/>
        <xdr:cNvSpPr>
          <a:spLocks/>
        </xdr:cNvSpPr>
      </xdr:nvSpPr>
      <xdr:spPr>
        <a:xfrm flipV="1">
          <a:off x="26098500" y="447675"/>
          <a:ext cx="190500" cy="952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66675</xdr:colOff>
      <xdr:row>3</xdr:row>
      <xdr:rowOff>66675</xdr:rowOff>
    </xdr:from>
    <xdr:to>
      <xdr:col>45</xdr:col>
      <xdr:colOff>266700</xdr:colOff>
      <xdr:row>3</xdr:row>
      <xdr:rowOff>152400</xdr:rowOff>
    </xdr:to>
    <xdr:sp>
      <xdr:nvSpPr>
        <xdr:cNvPr id="6" name="Line 18"/>
        <xdr:cNvSpPr>
          <a:spLocks/>
        </xdr:cNvSpPr>
      </xdr:nvSpPr>
      <xdr:spPr>
        <a:xfrm>
          <a:off x="26117550" y="666750"/>
          <a:ext cx="200025" cy="857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47625</xdr:colOff>
      <xdr:row>2</xdr:row>
      <xdr:rowOff>47625</xdr:rowOff>
    </xdr:from>
    <xdr:to>
      <xdr:col>48</xdr:col>
      <xdr:colOff>238125</xdr:colOff>
      <xdr:row>2</xdr:row>
      <xdr:rowOff>142875</xdr:rowOff>
    </xdr:to>
    <xdr:sp>
      <xdr:nvSpPr>
        <xdr:cNvPr id="7" name="Line 19"/>
        <xdr:cNvSpPr>
          <a:spLocks/>
        </xdr:cNvSpPr>
      </xdr:nvSpPr>
      <xdr:spPr>
        <a:xfrm flipV="1">
          <a:off x="27022425" y="447675"/>
          <a:ext cx="190500" cy="952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66675</xdr:colOff>
      <xdr:row>3</xdr:row>
      <xdr:rowOff>66675</xdr:rowOff>
    </xdr:from>
    <xdr:to>
      <xdr:col>48</xdr:col>
      <xdr:colOff>266700</xdr:colOff>
      <xdr:row>3</xdr:row>
      <xdr:rowOff>152400</xdr:rowOff>
    </xdr:to>
    <xdr:sp>
      <xdr:nvSpPr>
        <xdr:cNvPr id="8" name="Line 20"/>
        <xdr:cNvSpPr>
          <a:spLocks/>
        </xdr:cNvSpPr>
      </xdr:nvSpPr>
      <xdr:spPr>
        <a:xfrm>
          <a:off x="27041475" y="666750"/>
          <a:ext cx="200025" cy="857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13</xdr:row>
      <xdr:rowOff>9525</xdr:rowOff>
    </xdr:from>
    <xdr:to>
      <xdr:col>0</xdr:col>
      <xdr:colOff>542925</xdr:colOff>
      <xdr:row>13</xdr:row>
      <xdr:rowOff>171450</xdr:rowOff>
    </xdr:to>
    <xdr:sp>
      <xdr:nvSpPr>
        <xdr:cNvPr id="9" name="Rectangle 42"/>
        <xdr:cNvSpPr>
          <a:spLocks/>
        </xdr:cNvSpPr>
      </xdr:nvSpPr>
      <xdr:spPr>
        <a:xfrm>
          <a:off x="180975" y="3028950"/>
          <a:ext cx="361950" cy="161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15</xdr:row>
      <xdr:rowOff>9525</xdr:rowOff>
    </xdr:from>
    <xdr:to>
      <xdr:col>0</xdr:col>
      <xdr:colOff>542925</xdr:colOff>
      <xdr:row>15</xdr:row>
      <xdr:rowOff>171450</xdr:rowOff>
    </xdr:to>
    <xdr:sp>
      <xdr:nvSpPr>
        <xdr:cNvPr id="10" name="Rectangle 43"/>
        <xdr:cNvSpPr>
          <a:spLocks/>
        </xdr:cNvSpPr>
      </xdr:nvSpPr>
      <xdr:spPr>
        <a:xfrm>
          <a:off x="180975" y="3524250"/>
          <a:ext cx="361950" cy="161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17</xdr:row>
      <xdr:rowOff>9525</xdr:rowOff>
    </xdr:from>
    <xdr:to>
      <xdr:col>0</xdr:col>
      <xdr:colOff>542925</xdr:colOff>
      <xdr:row>17</xdr:row>
      <xdr:rowOff>171450</xdr:rowOff>
    </xdr:to>
    <xdr:sp>
      <xdr:nvSpPr>
        <xdr:cNvPr id="11" name="Rectangle 44"/>
        <xdr:cNvSpPr>
          <a:spLocks/>
        </xdr:cNvSpPr>
      </xdr:nvSpPr>
      <xdr:spPr>
        <a:xfrm>
          <a:off x="180975" y="4019550"/>
          <a:ext cx="361950" cy="161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19</xdr:row>
      <xdr:rowOff>9525</xdr:rowOff>
    </xdr:from>
    <xdr:to>
      <xdr:col>0</xdr:col>
      <xdr:colOff>542925</xdr:colOff>
      <xdr:row>19</xdr:row>
      <xdr:rowOff>161925</xdr:rowOff>
    </xdr:to>
    <xdr:sp>
      <xdr:nvSpPr>
        <xdr:cNvPr id="12" name="Rectangle 45"/>
        <xdr:cNvSpPr>
          <a:spLocks/>
        </xdr:cNvSpPr>
      </xdr:nvSpPr>
      <xdr:spPr>
        <a:xfrm>
          <a:off x="180975" y="4514850"/>
          <a:ext cx="361950" cy="1524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21</xdr:row>
      <xdr:rowOff>9525</xdr:rowOff>
    </xdr:from>
    <xdr:to>
      <xdr:col>0</xdr:col>
      <xdr:colOff>542925</xdr:colOff>
      <xdr:row>21</xdr:row>
      <xdr:rowOff>171450</xdr:rowOff>
    </xdr:to>
    <xdr:sp>
      <xdr:nvSpPr>
        <xdr:cNvPr id="13" name="Rectangle 46"/>
        <xdr:cNvSpPr>
          <a:spLocks/>
        </xdr:cNvSpPr>
      </xdr:nvSpPr>
      <xdr:spPr>
        <a:xfrm>
          <a:off x="180975" y="5010150"/>
          <a:ext cx="361950" cy="161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23</xdr:row>
      <xdr:rowOff>9525</xdr:rowOff>
    </xdr:from>
    <xdr:to>
      <xdr:col>0</xdr:col>
      <xdr:colOff>542925</xdr:colOff>
      <xdr:row>23</xdr:row>
      <xdr:rowOff>171450</xdr:rowOff>
    </xdr:to>
    <xdr:sp>
      <xdr:nvSpPr>
        <xdr:cNvPr id="14" name="Rectangle 47"/>
        <xdr:cNvSpPr>
          <a:spLocks/>
        </xdr:cNvSpPr>
      </xdr:nvSpPr>
      <xdr:spPr>
        <a:xfrm>
          <a:off x="180975" y="5505450"/>
          <a:ext cx="361950" cy="161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25</xdr:row>
      <xdr:rowOff>9525</xdr:rowOff>
    </xdr:from>
    <xdr:to>
      <xdr:col>0</xdr:col>
      <xdr:colOff>542925</xdr:colOff>
      <xdr:row>25</xdr:row>
      <xdr:rowOff>161925</xdr:rowOff>
    </xdr:to>
    <xdr:sp>
      <xdr:nvSpPr>
        <xdr:cNvPr id="15" name="Rectangle 48"/>
        <xdr:cNvSpPr>
          <a:spLocks/>
        </xdr:cNvSpPr>
      </xdr:nvSpPr>
      <xdr:spPr>
        <a:xfrm>
          <a:off x="180975" y="6000750"/>
          <a:ext cx="361950" cy="1524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27</xdr:row>
      <xdr:rowOff>9525</xdr:rowOff>
    </xdr:from>
    <xdr:to>
      <xdr:col>0</xdr:col>
      <xdr:colOff>542925</xdr:colOff>
      <xdr:row>27</xdr:row>
      <xdr:rowOff>171450</xdr:rowOff>
    </xdr:to>
    <xdr:sp>
      <xdr:nvSpPr>
        <xdr:cNvPr id="16" name="Rectangle 49"/>
        <xdr:cNvSpPr>
          <a:spLocks/>
        </xdr:cNvSpPr>
      </xdr:nvSpPr>
      <xdr:spPr>
        <a:xfrm>
          <a:off x="180975" y="6496050"/>
          <a:ext cx="361950" cy="161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29</xdr:row>
      <xdr:rowOff>9525</xdr:rowOff>
    </xdr:from>
    <xdr:to>
      <xdr:col>0</xdr:col>
      <xdr:colOff>542925</xdr:colOff>
      <xdr:row>29</xdr:row>
      <xdr:rowOff>171450</xdr:rowOff>
    </xdr:to>
    <xdr:sp>
      <xdr:nvSpPr>
        <xdr:cNvPr id="17" name="Rectangle 50"/>
        <xdr:cNvSpPr>
          <a:spLocks/>
        </xdr:cNvSpPr>
      </xdr:nvSpPr>
      <xdr:spPr>
        <a:xfrm>
          <a:off x="180975" y="6991350"/>
          <a:ext cx="361950" cy="161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31</xdr:row>
      <xdr:rowOff>9525</xdr:rowOff>
    </xdr:from>
    <xdr:to>
      <xdr:col>0</xdr:col>
      <xdr:colOff>542925</xdr:colOff>
      <xdr:row>31</xdr:row>
      <xdr:rowOff>171450</xdr:rowOff>
    </xdr:to>
    <xdr:sp>
      <xdr:nvSpPr>
        <xdr:cNvPr id="18" name="Rectangle 51"/>
        <xdr:cNvSpPr>
          <a:spLocks/>
        </xdr:cNvSpPr>
      </xdr:nvSpPr>
      <xdr:spPr>
        <a:xfrm>
          <a:off x="180975" y="7486650"/>
          <a:ext cx="361950" cy="161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180975</xdr:colOff>
      <xdr:row>11</xdr:row>
      <xdr:rowOff>9525</xdr:rowOff>
    </xdr:from>
    <xdr:to>
      <xdr:col>12</xdr:col>
      <xdr:colOff>542925</xdr:colOff>
      <xdr:row>11</xdr:row>
      <xdr:rowOff>171450</xdr:rowOff>
    </xdr:to>
    <xdr:sp>
      <xdr:nvSpPr>
        <xdr:cNvPr id="19" name="Rectangle 52"/>
        <xdr:cNvSpPr>
          <a:spLocks/>
        </xdr:cNvSpPr>
      </xdr:nvSpPr>
      <xdr:spPr>
        <a:xfrm>
          <a:off x="5457825" y="2533650"/>
          <a:ext cx="361950" cy="161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180975</xdr:colOff>
      <xdr:row>13</xdr:row>
      <xdr:rowOff>9525</xdr:rowOff>
    </xdr:from>
    <xdr:to>
      <xdr:col>12</xdr:col>
      <xdr:colOff>542925</xdr:colOff>
      <xdr:row>13</xdr:row>
      <xdr:rowOff>171450</xdr:rowOff>
    </xdr:to>
    <xdr:sp>
      <xdr:nvSpPr>
        <xdr:cNvPr id="20" name="Rectangle 53"/>
        <xdr:cNvSpPr>
          <a:spLocks/>
        </xdr:cNvSpPr>
      </xdr:nvSpPr>
      <xdr:spPr>
        <a:xfrm>
          <a:off x="5457825" y="3028950"/>
          <a:ext cx="361950" cy="161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180975</xdr:colOff>
      <xdr:row>15</xdr:row>
      <xdr:rowOff>9525</xdr:rowOff>
    </xdr:from>
    <xdr:to>
      <xdr:col>12</xdr:col>
      <xdr:colOff>542925</xdr:colOff>
      <xdr:row>15</xdr:row>
      <xdr:rowOff>171450</xdr:rowOff>
    </xdr:to>
    <xdr:sp>
      <xdr:nvSpPr>
        <xdr:cNvPr id="21" name="Rectangle 54"/>
        <xdr:cNvSpPr>
          <a:spLocks/>
        </xdr:cNvSpPr>
      </xdr:nvSpPr>
      <xdr:spPr>
        <a:xfrm>
          <a:off x="5457825" y="3524250"/>
          <a:ext cx="361950" cy="161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180975</xdr:colOff>
      <xdr:row>17</xdr:row>
      <xdr:rowOff>9525</xdr:rowOff>
    </xdr:from>
    <xdr:to>
      <xdr:col>12</xdr:col>
      <xdr:colOff>542925</xdr:colOff>
      <xdr:row>17</xdr:row>
      <xdr:rowOff>171450</xdr:rowOff>
    </xdr:to>
    <xdr:sp>
      <xdr:nvSpPr>
        <xdr:cNvPr id="22" name="Rectangle 55"/>
        <xdr:cNvSpPr>
          <a:spLocks/>
        </xdr:cNvSpPr>
      </xdr:nvSpPr>
      <xdr:spPr>
        <a:xfrm>
          <a:off x="5457825" y="4019550"/>
          <a:ext cx="361950" cy="161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180975</xdr:colOff>
      <xdr:row>19</xdr:row>
      <xdr:rowOff>9525</xdr:rowOff>
    </xdr:from>
    <xdr:to>
      <xdr:col>12</xdr:col>
      <xdr:colOff>542925</xdr:colOff>
      <xdr:row>19</xdr:row>
      <xdr:rowOff>161925</xdr:rowOff>
    </xdr:to>
    <xdr:sp>
      <xdr:nvSpPr>
        <xdr:cNvPr id="23" name="Rectangle 56"/>
        <xdr:cNvSpPr>
          <a:spLocks/>
        </xdr:cNvSpPr>
      </xdr:nvSpPr>
      <xdr:spPr>
        <a:xfrm>
          <a:off x="5457825" y="4514850"/>
          <a:ext cx="361950" cy="1524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180975</xdr:colOff>
      <xdr:row>21</xdr:row>
      <xdr:rowOff>9525</xdr:rowOff>
    </xdr:from>
    <xdr:to>
      <xdr:col>12</xdr:col>
      <xdr:colOff>542925</xdr:colOff>
      <xdr:row>21</xdr:row>
      <xdr:rowOff>171450</xdr:rowOff>
    </xdr:to>
    <xdr:sp>
      <xdr:nvSpPr>
        <xdr:cNvPr id="24" name="Rectangle 57"/>
        <xdr:cNvSpPr>
          <a:spLocks/>
        </xdr:cNvSpPr>
      </xdr:nvSpPr>
      <xdr:spPr>
        <a:xfrm>
          <a:off x="5457825" y="5010150"/>
          <a:ext cx="361950" cy="161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180975</xdr:colOff>
      <xdr:row>23</xdr:row>
      <xdr:rowOff>9525</xdr:rowOff>
    </xdr:from>
    <xdr:to>
      <xdr:col>12</xdr:col>
      <xdr:colOff>542925</xdr:colOff>
      <xdr:row>23</xdr:row>
      <xdr:rowOff>171450</xdr:rowOff>
    </xdr:to>
    <xdr:sp>
      <xdr:nvSpPr>
        <xdr:cNvPr id="25" name="Rectangle 58"/>
        <xdr:cNvSpPr>
          <a:spLocks/>
        </xdr:cNvSpPr>
      </xdr:nvSpPr>
      <xdr:spPr>
        <a:xfrm>
          <a:off x="5457825" y="5505450"/>
          <a:ext cx="361950" cy="161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180975</xdr:colOff>
      <xdr:row>25</xdr:row>
      <xdr:rowOff>9525</xdr:rowOff>
    </xdr:from>
    <xdr:to>
      <xdr:col>12</xdr:col>
      <xdr:colOff>542925</xdr:colOff>
      <xdr:row>25</xdr:row>
      <xdr:rowOff>161925</xdr:rowOff>
    </xdr:to>
    <xdr:sp>
      <xdr:nvSpPr>
        <xdr:cNvPr id="26" name="Rectangle 59"/>
        <xdr:cNvSpPr>
          <a:spLocks/>
        </xdr:cNvSpPr>
      </xdr:nvSpPr>
      <xdr:spPr>
        <a:xfrm>
          <a:off x="5457825" y="6000750"/>
          <a:ext cx="361950" cy="1524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180975</xdr:colOff>
      <xdr:row>27</xdr:row>
      <xdr:rowOff>9525</xdr:rowOff>
    </xdr:from>
    <xdr:to>
      <xdr:col>12</xdr:col>
      <xdr:colOff>542925</xdr:colOff>
      <xdr:row>27</xdr:row>
      <xdr:rowOff>171450</xdr:rowOff>
    </xdr:to>
    <xdr:sp>
      <xdr:nvSpPr>
        <xdr:cNvPr id="27" name="Rectangle 60"/>
        <xdr:cNvSpPr>
          <a:spLocks/>
        </xdr:cNvSpPr>
      </xdr:nvSpPr>
      <xdr:spPr>
        <a:xfrm>
          <a:off x="5457825" y="6496050"/>
          <a:ext cx="361950" cy="161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180975</xdr:colOff>
      <xdr:row>29</xdr:row>
      <xdr:rowOff>9525</xdr:rowOff>
    </xdr:from>
    <xdr:to>
      <xdr:col>12</xdr:col>
      <xdr:colOff>542925</xdr:colOff>
      <xdr:row>29</xdr:row>
      <xdr:rowOff>171450</xdr:rowOff>
    </xdr:to>
    <xdr:sp>
      <xdr:nvSpPr>
        <xdr:cNvPr id="28" name="Rectangle 61"/>
        <xdr:cNvSpPr>
          <a:spLocks/>
        </xdr:cNvSpPr>
      </xdr:nvSpPr>
      <xdr:spPr>
        <a:xfrm>
          <a:off x="5457825" y="6991350"/>
          <a:ext cx="361950" cy="161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180975</xdr:colOff>
      <xdr:row>31</xdr:row>
      <xdr:rowOff>9525</xdr:rowOff>
    </xdr:from>
    <xdr:to>
      <xdr:col>12</xdr:col>
      <xdr:colOff>542925</xdr:colOff>
      <xdr:row>31</xdr:row>
      <xdr:rowOff>171450</xdr:rowOff>
    </xdr:to>
    <xdr:sp>
      <xdr:nvSpPr>
        <xdr:cNvPr id="29" name="Rectangle 62"/>
        <xdr:cNvSpPr>
          <a:spLocks/>
        </xdr:cNvSpPr>
      </xdr:nvSpPr>
      <xdr:spPr>
        <a:xfrm>
          <a:off x="5457825" y="7486650"/>
          <a:ext cx="361950" cy="161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11</xdr:row>
      <xdr:rowOff>9525</xdr:rowOff>
    </xdr:from>
    <xdr:to>
      <xdr:col>0</xdr:col>
      <xdr:colOff>542925</xdr:colOff>
      <xdr:row>11</xdr:row>
      <xdr:rowOff>171450</xdr:rowOff>
    </xdr:to>
    <xdr:sp>
      <xdr:nvSpPr>
        <xdr:cNvPr id="30" name="Rectangle 63"/>
        <xdr:cNvSpPr>
          <a:spLocks/>
        </xdr:cNvSpPr>
      </xdr:nvSpPr>
      <xdr:spPr>
        <a:xfrm>
          <a:off x="180975" y="2533650"/>
          <a:ext cx="361950" cy="161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276225</xdr:colOff>
      <xdr:row>12</xdr:row>
      <xdr:rowOff>28575</xdr:rowOff>
    </xdr:from>
    <xdr:to>
      <xdr:col>1</xdr:col>
      <xdr:colOff>371475</xdr:colOff>
      <xdr:row>13</xdr:row>
      <xdr:rowOff>180975</xdr:rowOff>
    </xdr:to>
    <xdr:sp>
      <xdr:nvSpPr>
        <xdr:cNvPr id="1" name="AutoShape 2"/>
        <xdr:cNvSpPr>
          <a:spLocks/>
        </xdr:cNvSpPr>
      </xdr:nvSpPr>
      <xdr:spPr>
        <a:xfrm>
          <a:off x="523875" y="2562225"/>
          <a:ext cx="95250" cy="381000"/>
        </a:xfrm>
        <a:prstGeom prst="leftBrace">
          <a:avLst>
            <a:gd name="adj1" fmla="val -41666"/>
            <a:gd name="adj2" fmla="val 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266700</xdr:colOff>
      <xdr:row>10</xdr:row>
      <xdr:rowOff>47625</xdr:rowOff>
    </xdr:from>
    <xdr:to>
      <xdr:col>1</xdr:col>
      <xdr:colOff>361950</xdr:colOff>
      <xdr:row>11</xdr:row>
      <xdr:rowOff>200025</xdr:rowOff>
    </xdr:to>
    <xdr:sp>
      <xdr:nvSpPr>
        <xdr:cNvPr id="2" name="AutoShape 3"/>
        <xdr:cNvSpPr>
          <a:spLocks/>
        </xdr:cNvSpPr>
      </xdr:nvSpPr>
      <xdr:spPr>
        <a:xfrm>
          <a:off x="514350" y="2124075"/>
          <a:ext cx="95250" cy="381000"/>
        </a:xfrm>
        <a:prstGeom prst="leftBrace">
          <a:avLst>
            <a:gd name="adj1" fmla="val -41666"/>
            <a:gd name="adj2" fmla="val 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47625</xdr:colOff>
      <xdr:row>10</xdr:row>
      <xdr:rowOff>38100</xdr:rowOff>
    </xdr:from>
    <xdr:to>
      <xdr:col>19</xdr:col>
      <xdr:colOff>114300</xdr:colOff>
      <xdr:row>11</xdr:row>
      <xdr:rowOff>200025</xdr:rowOff>
    </xdr:to>
    <xdr:sp>
      <xdr:nvSpPr>
        <xdr:cNvPr id="3" name="AutoShape 4"/>
        <xdr:cNvSpPr>
          <a:spLocks/>
        </xdr:cNvSpPr>
      </xdr:nvSpPr>
      <xdr:spPr>
        <a:xfrm>
          <a:off x="6505575" y="2114550"/>
          <a:ext cx="66675" cy="390525"/>
        </a:xfrm>
        <a:prstGeom prst="rightBrace">
          <a:avLst>
            <a:gd name="adj1" fmla="val -41666"/>
            <a:gd name="adj2" fmla="val 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47625</xdr:colOff>
      <xdr:row>12</xdr:row>
      <xdr:rowOff>28575</xdr:rowOff>
    </xdr:from>
    <xdr:to>
      <xdr:col>19</xdr:col>
      <xdr:colOff>114300</xdr:colOff>
      <xdr:row>13</xdr:row>
      <xdr:rowOff>180975</xdr:rowOff>
    </xdr:to>
    <xdr:sp>
      <xdr:nvSpPr>
        <xdr:cNvPr id="4" name="AutoShape 5"/>
        <xdr:cNvSpPr>
          <a:spLocks/>
        </xdr:cNvSpPr>
      </xdr:nvSpPr>
      <xdr:spPr>
        <a:xfrm>
          <a:off x="6505575" y="2562225"/>
          <a:ext cx="66675" cy="381000"/>
        </a:xfrm>
        <a:prstGeom prst="rightBrace">
          <a:avLst>
            <a:gd name="adj1" fmla="val -41666"/>
            <a:gd name="adj2" fmla="val 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32</xdr:row>
      <xdr:rowOff>28575</xdr:rowOff>
    </xdr:from>
    <xdr:to>
      <xdr:col>1</xdr:col>
      <xdr:colOff>371475</xdr:colOff>
      <xdr:row>33</xdr:row>
      <xdr:rowOff>180975</xdr:rowOff>
    </xdr:to>
    <xdr:sp>
      <xdr:nvSpPr>
        <xdr:cNvPr id="5" name="AutoShape 7"/>
        <xdr:cNvSpPr>
          <a:spLocks/>
        </xdr:cNvSpPr>
      </xdr:nvSpPr>
      <xdr:spPr>
        <a:xfrm>
          <a:off x="523875" y="6905625"/>
          <a:ext cx="95250" cy="381000"/>
        </a:xfrm>
        <a:prstGeom prst="leftBrace">
          <a:avLst>
            <a:gd name="adj1" fmla="val -41666"/>
            <a:gd name="adj2" fmla="val 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34</xdr:row>
      <xdr:rowOff>28575</xdr:rowOff>
    </xdr:from>
    <xdr:to>
      <xdr:col>1</xdr:col>
      <xdr:colOff>371475</xdr:colOff>
      <xdr:row>35</xdr:row>
      <xdr:rowOff>171450</xdr:rowOff>
    </xdr:to>
    <xdr:sp>
      <xdr:nvSpPr>
        <xdr:cNvPr id="6" name="AutoShape 8"/>
        <xdr:cNvSpPr>
          <a:spLocks/>
        </xdr:cNvSpPr>
      </xdr:nvSpPr>
      <xdr:spPr>
        <a:xfrm>
          <a:off x="523875" y="7362825"/>
          <a:ext cx="95250" cy="371475"/>
        </a:xfrm>
        <a:prstGeom prst="leftBrace">
          <a:avLst>
            <a:gd name="adj1" fmla="val -41666"/>
            <a:gd name="adj2" fmla="val 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47625</xdr:colOff>
      <xdr:row>32</xdr:row>
      <xdr:rowOff>38100</xdr:rowOff>
    </xdr:from>
    <xdr:to>
      <xdr:col>19</xdr:col>
      <xdr:colOff>114300</xdr:colOff>
      <xdr:row>33</xdr:row>
      <xdr:rowOff>200025</xdr:rowOff>
    </xdr:to>
    <xdr:sp>
      <xdr:nvSpPr>
        <xdr:cNvPr id="7" name="AutoShape 9"/>
        <xdr:cNvSpPr>
          <a:spLocks/>
        </xdr:cNvSpPr>
      </xdr:nvSpPr>
      <xdr:spPr>
        <a:xfrm>
          <a:off x="6505575" y="6915150"/>
          <a:ext cx="66675" cy="390525"/>
        </a:xfrm>
        <a:prstGeom prst="rightBrace">
          <a:avLst>
            <a:gd name="adj1" fmla="val -41666"/>
            <a:gd name="adj2" fmla="val 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47625</xdr:colOff>
      <xdr:row>34</xdr:row>
      <xdr:rowOff>38100</xdr:rowOff>
    </xdr:from>
    <xdr:to>
      <xdr:col>19</xdr:col>
      <xdr:colOff>114300</xdr:colOff>
      <xdr:row>35</xdr:row>
      <xdr:rowOff>200025</xdr:rowOff>
    </xdr:to>
    <xdr:sp>
      <xdr:nvSpPr>
        <xdr:cNvPr id="8" name="AutoShape 10"/>
        <xdr:cNvSpPr>
          <a:spLocks/>
        </xdr:cNvSpPr>
      </xdr:nvSpPr>
      <xdr:spPr>
        <a:xfrm>
          <a:off x="6505575" y="7372350"/>
          <a:ext cx="66675" cy="390525"/>
        </a:xfrm>
        <a:prstGeom prst="rightBrace">
          <a:avLst>
            <a:gd name="adj1" fmla="val -41666"/>
            <a:gd name="adj2" fmla="val 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3</xdr:row>
      <xdr:rowOff>66675</xdr:rowOff>
    </xdr:from>
    <xdr:to>
      <xdr:col>2</xdr:col>
      <xdr:colOff>152400</xdr:colOff>
      <xdr:row>3</xdr:row>
      <xdr:rowOff>66675</xdr:rowOff>
    </xdr:to>
    <xdr:sp>
      <xdr:nvSpPr>
        <xdr:cNvPr id="1" name="Line 1"/>
        <xdr:cNvSpPr>
          <a:spLocks/>
        </xdr:cNvSpPr>
      </xdr:nvSpPr>
      <xdr:spPr>
        <a:xfrm>
          <a:off x="361950" y="552450"/>
          <a:ext cx="13335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3</xdr:row>
      <xdr:rowOff>123825</xdr:rowOff>
    </xdr:from>
    <xdr:to>
      <xdr:col>2</xdr:col>
      <xdr:colOff>152400</xdr:colOff>
      <xdr:row>3</xdr:row>
      <xdr:rowOff>123825</xdr:rowOff>
    </xdr:to>
    <xdr:sp>
      <xdr:nvSpPr>
        <xdr:cNvPr id="2" name="Line 2"/>
        <xdr:cNvSpPr>
          <a:spLocks/>
        </xdr:cNvSpPr>
      </xdr:nvSpPr>
      <xdr:spPr>
        <a:xfrm>
          <a:off x="361950" y="609600"/>
          <a:ext cx="13335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3</xdr:row>
      <xdr:rowOff>95250</xdr:rowOff>
    </xdr:from>
    <xdr:to>
      <xdr:col>4</xdr:col>
      <xdr:colOff>171450</xdr:colOff>
      <xdr:row>3</xdr:row>
      <xdr:rowOff>95250</xdr:rowOff>
    </xdr:to>
    <xdr:sp>
      <xdr:nvSpPr>
        <xdr:cNvPr id="3" name="Line 3"/>
        <xdr:cNvSpPr>
          <a:spLocks/>
        </xdr:cNvSpPr>
      </xdr:nvSpPr>
      <xdr:spPr>
        <a:xfrm>
          <a:off x="714375" y="581025"/>
          <a:ext cx="1428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19050</xdr:colOff>
      <xdr:row>5</xdr:row>
      <xdr:rowOff>66675</xdr:rowOff>
    </xdr:from>
    <xdr:to>
      <xdr:col>37</xdr:col>
      <xdr:colOff>142875</xdr:colOff>
      <xdr:row>5</xdr:row>
      <xdr:rowOff>66675</xdr:rowOff>
    </xdr:to>
    <xdr:sp>
      <xdr:nvSpPr>
        <xdr:cNvPr id="4" name="Line 4"/>
        <xdr:cNvSpPr>
          <a:spLocks/>
        </xdr:cNvSpPr>
      </xdr:nvSpPr>
      <xdr:spPr>
        <a:xfrm>
          <a:off x="6362700" y="914400"/>
          <a:ext cx="123825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19050</xdr:colOff>
      <xdr:row>5</xdr:row>
      <xdr:rowOff>123825</xdr:rowOff>
    </xdr:from>
    <xdr:to>
      <xdr:col>37</xdr:col>
      <xdr:colOff>142875</xdr:colOff>
      <xdr:row>5</xdr:row>
      <xdr:rowOff>123825</xdr:rowOff>
    </xdr:to>
    <xdr:sp>
      <xdr:nvSpPr>
        <xdr:cNvPr id="5" name="Line 5"/>
        <xdr:cNvSpPr>
          <a:spLocks/>
        </xdr:cNvSpPr>
      </xdr:nvSpPr>
      <xdr:spPr>
        <a:xfrm>
          <a:off x="6362700" y="971550"/>
          <a:ext cx="123825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19050</xdr:colOff>
      <xdr:row>7</xdr:row>
      <xdr:rowOff>66675</xdr:rowOff>
    </xdr:from>
    <xdr:to>
      <xdr:col>17</xdr:col>
      <xdr:colOff>152400</xdr:colOff>
      <xdr:row>7</xdr:row>
      <xdr:rowOff>66675</xdr:rowOff>
    </xdr:to>
    <xdr:sp>
      <xdr:nvSpPr>
        <xdr:cNvPr id="6" name="Line 6"/>
        <xdr:cNvSpPr>
          <a:spLocks/>
        </xdr:cNvSpPr>
      </xdr:nvSpPr>
      <xdr:spPr>
        <a:xfrm>
          <a:off x="2933700" y="1276350"/>
          <a:ext cx="13335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19050</xdr:colOff>
      <xdr:row>7</xdr:row>
      <xdr:rowOff>123825</xdr:rowOff>
    </xdr:from>
    <xdr:to>
      <xdr:col>17</xdr:col>
      <xdr:colOff>152400</xdr:colOff>
      <xdr:row>7</xdr:row>
      <xdr:rowOff>123825</xdr:rowOff>
    </xdr:to>
    <xdr:sp>
      <xdr:nvSpPr>
        <xdr:cNvPr id="7" name="Line 7"/>
        <xdr:cNvSpPr>
          <a:spLocks/>
        </xdr:cNvSpPr>
      </xdr:nvSpPr>
      <xdr:spPr>
        <a:xfrm>
          <a:off x="2933700" y="1333500"/>
          <a:ext cx="13335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11</xdr:row>
      <xdr:rowOff>66675</xdr:rowOff>
    </xdr:from>
    <xdr:to>
      <xdr:col>2</xdr:col>
      <xdr:colOff>152400</xdr:colOff>
      <xdr:row>11</xdr:row>
      <xdr:rowOff>66675</xdr:rowOff>
    </xdr:to>
    <xdr:sp>
      <xdr:nvSpPr>
        <xdr:cNvPr id="8" name="Line 8"/>
        <xdr:cNvSpPr>
          <a:spLocks/>
        </xdr:cNvSpPr>
      </xdr:nvSpPr>
      <xdr:spPr>
        <a:xfrm>
          <a:off x="361950" y="2000250"/>
          <a:ext cx="13335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11</xdr:row>
      <xdr:rowOff>123825</xdr:rowOff>
    </xdr:from>
    <xdr:to>
      <xdr:col>2</xdr:col>
      <xdr:colOff>152400</xdr:colOff>
      <xdr:row>11</xdr:row>
      <xdr:rowOff>123825</xdr:rowOff>
    </xdr:to>
    <xdr:sp>
      <xdr:nvSpPr>
        <xdr:cNvPr id="9" name="Line 9"/>
        <xdr:cNvSpPr>
          <a:spLocks/>
        </xdr:cNvSpPr>
      </xdr:nvSpPr>
      <xdr:spPr>
        <a:xfrm>
          <a:off x="361950" y="2057400"/>
          <a:ext cx="13335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11</xdr:row>
      <xdr:rowOff>95250</xdr:rowOff>
    </xdr:from>
    <xdr:to>
      <xdr:col>2</xdr:col>
      <xdr:colOff>152400</xdr:colOff>
      <xdr:row>11</xdr:row>
      <xdr:rowOff>95250</xdr:rowOff>
    </xdr:to>
    <xdr:sp>
      <xdr:nvSpPr>
        <xdr:cNvPr id="10" name="Line 10"/>
        <xdr:cNvSpPr>
          <a:spLocks/>
        </xdr:cNvSpPr>
      </xdr:nvSpPr>
      <xdr:spPr>
        <a:xfrm>
          <a:off x="361950" y="2028825"/>
          <a:ext cx="13335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19050</xdr:colOff>
      <xdr:row>11</xdr:row>
      <xdr:rowOff>66675</xdr:rowOff>
    </xdr:from>
    <xdr:to>
      <xdr:col>37</xdr:col>
      <xdr:colOff>142875</xdr:colOff>
      <xdr:row>11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6362700" y="2000250"/>
          <a:ext cx="123825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19050</xdr:colOff>
      <xdr:row>11</xdr:row>
      <xdr:rowOff>123825</xdr:rowOff>
    </xdr:from>
    <xdr:to>
      <xdr:col>37</xdr:col>
      <xdr:colOff>142875</xdr:colOff>
      <xdr:row>11</xdr:row>
      <xdr:rowOff>123825</xdr:rowOff>
    </xdr:to>
    <xdr:sp>
      <xdr:nvSpPr>
        <xdr:cNvPr id="12" name="Line 12"/>
        <xdr:cNvSpPr>
          <a:spLocks/>
        </xdr:cNvSpPr>
      </xdr:nvSpPr>
      <xdr:spPr>
        <a:xfrm>
          <a:off x="6362700" y="2057400"/>
          <a:ext cx="123825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9525</xdr:colOff>
      <xdr:row>17</xdr:row>
      <xdr:rowOff>47625</xdr:rowOff>
    </xdr:from>
    <xdr:to>
      <xdr:col>37</xdr:col>
      <xdr:colOff>142875</xdr:colOff>
      <xdr:row>17</xdr:row>
      <xdr:rowOff>47625</xdr:rowOff>
    </xdr:to>
    <xdr:sp>
      <xdr:nvSpPr>
        <xdr:cNvPr id="13" name="Line 13"/>
        <xdr:cNvSpPr>
          <a:spLocks/>
        </xdr:cNvSpPr>
      </xdr:nvSpPr>
      <xdr:spPr>
        <a:xfrm>
          <a:off x="6353175" y="2847975"/>
          <a:ext cx="13335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17</xdr:row>
      <xdr:rowOff>85725</xdr:rowOff>
    </xdr:from>
    <xdr:to>
      <xdr:col>37</xdr:col>
      <xdr:colOff>142875</xdr:colOff>
      <xdr:row>17</xdr:row>
      <xdr:rowOff>85725</xdr:rowOff>
    </xdr:to>
    <xdr:sp>
      <xdr:nvSpPr>
        <xdr:cNvPr id="14" name="Line 14"/>
        <xdr:cNvSpPr>
          <a:spLocks/>
        </xdr:cNvSpPr>
      </xdr:nvSpPr>
      <xdr:spPr>
        <a:xfrm>
          <a:off x="6343650" y="2886075"/>
          <a:ext cx="142875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19050</xdr:colOff>
      <xdr:row>24</xdr:row>
      <xdr:rowOff>66675</xdr:rowOff>
    </xdr:from>
    <xdr:to>
      <xdr:col>37</xdr:col>
      <xdr:colOff>142875</xdr:colOff>
      <xdr:row>24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6362700" y="4038600"/>
          <a:ext cx="123825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19050</xdr:colOff>
      <xdr:row>24</xdr:row>
      <xdr:rowOff>123825</xdr:rowOff>
    </xdr:from>
    <xdr:to>
      <xdr:col>37</xdr:col>
      <xdr:colOff>142875</xdr:colOff>
      <xdr:row>24</xdr:row>
      <xdr:rowOff>123825</xdr:rowOff>
    </xdr:to>
    <xdr:sp>
      <xdr:nvSpPr>
        <xdr:cNvPr id="16" name="Line 16"/>
        <xdr:cNvSpPr>
          <a:spLocks/>
        </xdr:cNvSpPr>
      </xdr:nvSpPr>
      <xdr:spPr>
        <a:xfrm>
          <a:off x="6362700" y="4095750"/>
          <a:ext cx="123825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19050</xdr:colOff>
      <xdr:row>28</xdr:row>
      <xdr:rowOff>66675</xdr:rowOff>
    </xdr:from>
    <xdr:to>
      <xdr:col>37</xdr:col>
      <xdr:colOff>142875</xdr:colOff>
      <xdr:row>28</xdr:row>
      <xdr:rowOff>66675</xdr:rowOff>
    </xdr:to>
    <xdr:sp>
      <xdr:nvSpPr>
        <xdr:cNvPr id="17" name="Line 17"/>
        <xdr:cNvSpPr>
          <a:spLocks/>
        </xdr:cNvSpPr>
      </xdr:nvSpPr>
      <xdr:spPr>
        <a:xfrm>
          <a:off x="6362700" y="4638675"/>
          <a:ext cx="123825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19050</xdr:colOff>
      <xdr:row>28</xdr:row>
      <xdr:rowOff>123825</xdr:rowOff>
    </xdr:from>
    <xdr:to>
      <xdr:col>37</xdr:col>
      <xdr:colOff>142875</xdr:colOff>
      <xdr:row>28</xdr:row>
      <xdr:rowOff>123825</xdr:rowOff>
    </xdr:to>
    <xdr:sp>
      <xdr:nvSpPr>
        <xdr:cNvPr id="18" name="Line 18"/>
        <xdr:cNvSpPr>
          <a:spLocks/>
        </xdr:cNvSpPr>
      </xdr:nvSpPr>
      <xdr:spPr>
        <a:xfrm>
          <a:off x="6362700" y="4695825"/>
          <a:ext cx="123825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19050</xdr:colOff>
      <xdr:row>33</xdr:row>
      <xdr:rowOff>66675</xdr:rowOff>
    </xdr:from>
    <xdr:to>
      <xdr:col>37</xdr:col>
      <xdr:colOff>142875</xdr:colOff>
      <xdr:row>33</xdr:row>
      <xdr:rowOff>66675</xdr:rowOff>
    </xdr:to>
    <xdr:sp>
      <xdr:nvSpPr>
        <xdr:cNvPr id="19" name="Line 19"/>
        <xdr:cNvSpPr>
          <a:spLocks/>
        </xdr:cNvSpPr>
      </xdr:nvSpPr>
      <xdr:spPr>
        <a:xfrm>
          <a:off x="6362700" y="5543550"/>
          <a:ext cx="123825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19050</xdr:colOff>
      <xdr:row>33</xdr:row>
      <xdr:rowOff>123825</xdr:rowOff>
    </xdr:from>
    <xdr:to>
      <xdr:col>37</xdr:col>
      <xdr:colOff>142875</xdr:colOff>
      <xdr:row>33</xdr:row>
      <xdr:rowOff>123825</xdr:rowOff>
    </xdr:to>
    <xdr:sp>
      <xdr:nvSpPr>
        <xdr:cNvPr id="20" name="Line 20"/>
        <xdr:cNvSpPr>
          <a:spLocks/>
        </xdr:cNvSpPr>
      </xdr:nvSpPr>
      <xdr:spPr>
        <a:xfrm>
          <a:off x="6362700" y="5600700"/>
          <a:ext cx="123825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19050</xdr:colOff>
      <xdr:row>45</xdr:row>
      <xdr:rowOff>66675</xdr:rowOff>
    </xdr:from>
    <xdr:to>
      <xdr:col>24</xdr:col>
      <xdr:colOff>142875</xdr:colOff>
      <xdr:row>45</xdr:row>
      <xdr:rowOff>66675</xdr:rowOff>
    </xdr:to>
    <xdr:sp>
      <xdr:nvSpPr>
        <xdr:cNvPr id="21" name="Line 21"/>
        <xdr:cNvSpPr>
          <a:spLocks/>
        </xdr:cNvSpPr>
      </xdr:nvSpPr>
      <xdr:spPr>
        <a:xfrm>
          <a:off x="4133850" y="7448550"/>
          <a:ext cx="123825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19050</xdr:colOff>
      <xdr:row>45</xdr:row>
      <xdr:rowOff>123825</xdr:rowOff>
    </xdr:from>
    <xdr:to>
      <xdr:col>24</xdr:col>
      <xdr:colOff>142875</xdr:colOff>
      <xdr:row>45</xdr:row>
      <xdr:rowOff>123825</xdr:rowOff>
    </xdr:to>
    <xdr:sp>
      <xdr:nvSpPr>
        <xdr:cNvPr id="22" name="Line 22"/>
        <xdr:cNvSpPr>
          <a:spLocks/>
        </xdr:cNvSpPr>
      </xdr:nvSpPr>
      <xdr:spPr>
        <a:xfrm>
          <a:off x="4133850" y="7505700"/>
          <a:ext cx="123825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19050</xdr:colOff>
      <xdr:row>49</xdr:row>
      <xdr:rowOff>66675</xdr:rowOff>
    </xdr:from>
    <xdr:to>
      <xdr:col>37</xdr:col>
      <xdr:colOff>142875</xdr:colOff>
      <xdr:row>49</xdr:row>
      <xdr:rowOff>66675</xdr:rowOff>
    </xdr:to>
    <xdr:sp>
      <xdr:nvSpPr>
        <xdr:cNvPr id="23" name="Line 23"/>
        <xdr:cNvSpPr>
          <a:spLocks/>
        </xdr:cNvSpPr>
      </xdr:nvSpPr>
      <xdr:spPr>
        <a:xfrm>
          <a:off x="6362700" y="8210550"/>
          <a:ext cx="123825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19050</xdr:colOff>
      <xdr:row>49</xdr:row>
      <xdr:rowOff>123825</xdr:rowOff>
    </xdr:from>
    <xdr:to>
      <xdr:col>37</xdr:col>
      <xdr:colOff>142875</xdr:colOff>
      <xdr:row>49</xdr:row>
      <xdr:rowOff>123825</xdr:rowOff>
    </xdr:to>
    <xdr:sp>
      <xdr:nvSpPr>
        <xdr:cNvPr id="24" name="Line 24"/>
        <xdr:cNvSpPr>
          <a:spLocks/>
        </xdr:cNvSpPr>
      </xdr:nvSpPr>
      <xdr:spPr>
        <a:xfrm>
          <a:off x="6362700" y="8267700"/>
          <a:ext cx="123825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19050</xdr:colOff>
      <xdr:row>51</xdr:row>
      <xdr:rowOff>66675</xdr:rowOff>
    </xdr:from>
    <xdr:to>
      <xdr:col>24</xdr:col>
      <xdr:colOff>142875</xdr:colOff>
      <xdr:row>51</xdr:row>
      <xdr:rowOff>66675</xdr:rowOff>
    </xdr:to>
    <xdr:sp>
      <xdr:nvSpPr>
        <xdr:cNvPr id="25" name="Line 25"/>
        <xdr:cNvSpPr>
          <a:spLocks/>
        </xdr:cNvSpPr>
      </xdr:nvSpPr>
      <xdr:spPr>
        <a:xfrm>
          <a:off x="4133850" y="8591550"/>
          <a:ext cx="123825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19050</xdr:colOff>
      <xdr:row>51</xdr:row>
      <xdr:rowOff>123825</xdr:rowOff>
    </xdr:from>
    <xdr:to>
      <xdr:col>24</xdr:col>
      <xdr:colOff>142875</xdr:colOff>
      <xdr:row>51</xdr:row>
      <xdr:rowOff>123825</xdr:rowOff>
    </xdr:to>
    <xdr:sp>
      <xdr:nvSpPr>
        <xdr:cNvPr id="26" name="Line 26"/>
        <xdr:cNvSpPr>
          <a:spLocks/>
        </xdr:cNvSpPr>
      </xdr:nvSpPr>
      <xdr:spPr>
        <a:xfrm>
          <a:off x="4133850" y="8648700"/>
          <a:ext cx="123825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7</xdr:row>
      <xdr:rowOff>95250</xdr:rowOff>
    </xdr:from>
    <xdr:to>
      <xdr:col>6</xdr:col>
      <xdr:colOff>161925</xdr:colOff>
      <xdr:row>7</xdr:row>
      <xdr:rowOff>95250</xdr:rowOff>
    </xdr:to>
    <xdr:sp>
      <xdr:nvSpPr>
        <xdr:cNvPr id="27" name="Line 27"/>
        <xdr:cNvSpPr>
          <a:spLocks/>
        </xdr:cNvSpPr>
      </xdr:nvSpPr>
      <xdr:spPr>
        <a:xfrm>
          <a:off x="1057275" y="1304925"/>
          <a:ext cx="1333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28575</xdr:colOff>
      <xdr:row>20</xdr:row>
      <xdr:rowOff>95250</xdr:rowOff>
    </xdr:from>
    <xdr:to>
      <xdr:col>12</xdr:col>
      <xdr:colOff>171450</xdr:colOff>
      <xdr:row>20</xdr:row>
      <xdr:rowOff>95250</xdr:rowOff>
    </xdr:to>
    <xdr:sp>
      <xdr:nvSpPr>
        <xdr:cNvPr id="28" name="Line 28"/>
        <xdr:cNvSpPr>
          <a:spLocks/>
        </xdr:cNvSpPr>
      </xdr:nvSpPr>
      <xdr:spPr>
        <a:xfrm>
          <a:off x="2085975" y="3343275"/>
          <a:ext cx="1428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28575</xdr:colOff>
      <xdr:row>28</xdr:row>
      <xdr:rowOff>95250</xdr:rowOff>
    </xdr:from>
    <xdr:to>
      <xdr:col>21</xdr:col>
      <xdr:colOff>161925</xdr:colOff>
      <xdr:row>28</xdr:row>
      <xdr:rowOff>95250</xdr:rowOff>
    </xdr:to>
    <xdr:sp>
      <xdr:nvSpPr>
        <xdr:cNvPr id="29" name="Line 29"/>
        <xdr:cNvSpPr>
          <a:spLocks/>
        </xdr:cNvSpPr>
      </xdr:nvSpPr>
      <xdr:spPr>
        <a:xfrm>
          <a:off x="3629025" y="4667250"/>
          <a:ext cx="1333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28575</xdr:colOff>
      <xdr:row>28</xdr:row>
      <xdr:rowOff>95250</xdr:rowOff>
    </xdr:from>
    <xdr:to>
      <xdr:col>30</xdr:col>
      <xdr:colOff>171450</xdr:colOff>
      <xdr:row>28</xdr:row>
      <xdr:rowOff>95250</xdr:rowOff>
    </xdr:to>
    <xdr:sp>
      <xdr:nvSpPr>
        <xdr:cNvPr id="30" name="Line 30"/>
        <xdr:cNvSpPr>
          <a:spLocks/>
        </xdr:cNvSpPr>
      </xdr:nvSpPr>
      <xdr:spPr>
        <a:xfrm>
          <a:off x="5172075" y="4667250"/>
          <a:ext cx="1428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37</xdr:row>
      <xdr:rowOff>95250</xdr:rowOff>
    </xdr:from>
    <xdr:to>
      <xdr:col>9</xdr:col>
      <xdr:colOff>171450</xdr:colOff>
      <xdr:row>37</xdr:row>
      <xdr:rowOff>95250</xdr:rowOff>
    </xdr:to>
    <xdr:sp>
      <xdr:nvSpPr>
        <xdr:cNvPr id="31" name="Line 31"/>
        <xdr:cNvSpPr>
          <a:spLocks/>
        </xdr:cNvSpPr>
      </xdr:nvSpPr>
      <xdr:spPr>
        <a:xfrm>
          <a:off x="1571625" y="6296025"/>
          <a:ext cx="1428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28575</xdr:colOff>
      <xdr:row>37</xdr:row>
      <xdr:rowOff>95250</xdr:rowOff>
    </xdr:from>
    <xdr:to>
      <xdr:col>25</xdr:col>
      <xdr:colOff>171450</xdr:colOff>
      <xdr:row>37</xdr:row>
      <xdr:rowOff>95250</xdr:rowOff>
    </xdr:to>
    <xdr:sp>
      <xdr:nvSpPr>
        <xdr:cNvPr id="32" name="Line 32"/>
        <xdr:cNvSpPr>
          <a:spLocks/>
        </xdr:cNvSpPr>
      </xdr:nvSpPr>
      <xdr:spPr>
        <a:xfrm>
          <a:off x="4314825" y="6296025"/>
          <a:ext cx="1428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123825</xdr:colOff>
      <xdr:row>41</xdr:row>
      <xdr:rowOff>85725</xdr:rowOff>
    </xdr:from>
    <xdr:to>
      <xdr:col>2</xdr:col>
      <xdr:colOff>95250</xdr:colOff>
      <xdr:row>41</xdr:row>
      <xdr:rowOff>85725</xdr:rowOff>
    </xdr:to>
    <xdr:sp>
      <xdr:nvSpPr>
        <xdr:cNvPr id="33" name="Line 33"/>
        <xdr:cNvSpPr>
          <a:spLocks/>
        </xdr:cNvSpPr>
      </xdr:nvSpPr>
      <xdr:spPr>
        <a:xfrm>
          <a:off x="295275" y="6896100"/>
          <a:ext cx="1428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28575</xdr:colOff>
      <xdr:row>41</xdr:row>
      <xdr:rowOff>95250</xdr:rowOff>
    </xdr:from>
    <xdr:to>
      <xdr:col>21</xdr:col>
      <xdr:colOff>161925</xdr:colOff>
      <xdr:row>41</xdr:row>
      <xdr:rowOff>95250</xdr:rowOff>
    </xdr:to>
    <xdr:sp>
      <xdr:nvSpPr>
        <xdr:cNvPr id="34" name="Line 34"/>
        <xdr:cNvSpPr>
          <a:spLocks/>
        </xdr:cNvSpPr>
      </xdr:nvSpPr>
      <xdr:spPr>
        <a:xfrm>
          <a:off x="3629025" y="6905625"/>
          <a:ext cx="1333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45</xdr:row>
      <xdr:rowOff>95250</xdr:rowOff>
    </xdr:from>
    <xdr:to>
      <xdr:col>0</xdr:col>
      <xdr:colOff>171450</xdr:colOff>
      <xdr:row>45</xdr:row>
      <xdr:rowOff>95250</xdr:rowOff>
    </xdr:to>
    <xdr:sp>
      <xdr:nvSpPr>
        <xdr:cNvPr id="35" name="Line 35"/>
        <xdr:cNvSpPr>
          <a:spLocks/>
        </xdr:cNvSpPr>
      </xdr:nvSpPr>
      <xdr:spPr>
        <a:xfrm>
          <a:off x="28575" y="7477125"/>
          <a:ext cx="1428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45</xdr:row>
      <xdr:rowOff>95250</xdr:rowOff>
    </xdr:from>
    <xdr:to>
      <xdr:col>5</xdr:col>
      <xdr:colOff>161925</xdr:colOff>
      <xdr:row>45</xdr:row>
      <xdr:rowOff>95250</xdr:rowOff>
    </xdr:to>
    <xdr:sp>
      <xdr:nvSpPr>
        <xdr:cNvPr id="36" name="Line 36"/>
        <xdr:cNvSpPr>
          <a:spLocks/>
        </xdr:cNvSpPr>
      </xdr:nvSpPr>
      <xdr:spPr>
        <a:xfrm>
          <a:off x="885825" y="7477125"/>
          <a:ext cx="1333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45</xdr:row>
      <xdr:rowOff>95250</xdr:rowOff>
    </xdr:from>
    <xdr:to>
      <xdr:col>9</xdr:col>
      <xdr:colOff>171450</xdr:colOff>
      <xdr:row>45</xdr:row>
      <xdr:rowOff>95250</xdr:rowOff>
    </xdr:to>
    <xdr:sp>
      <xdr:nvSpPr>
        <xdr:cNvPr id="37" name="Line 37"/>
        <xdr:cNvSpPr>
          <a:spLocks/>
        </xdr:cNvSpPr>
      </xdr:nvSpPr>
      <xdr:spPr>
        <a:xfrm>
          <a:off x="1571625" y="7477125"/>
          <a:ext cx="1428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49</xdr:row>
      <xdr:rowOff>95250</xdr:rowOff>
    </xdr:from>
    <xdr:to>
      <xdr:col>0</xdr:col>
      <xdr:colOff>171450</xdr:colOff>
      <xdr:row>49</xdr:row>
      <xdr:rowOff>95250</xdr:rowOff>
    </xdr:to>
    <xdr:sp>
      <xdr:nvSpPr>
        <xdr:cNvPr id="38" name="Line 38"/>
        <xdr:cNvSpPr>
          <a:spLocks/>
        </xdr:cNvSpPr>
      </xdr:nvSpPr>
      <xdr:spPr>
        <a:xfrm>
          <a:off x="28575" y="8239125"/>
          <a:ext cx="1428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14</xdr:row>
      <xdr:rowOff>95250</xdr:rowOff>
    </xdr:from>
    <xdr:to>
      <xdr:col>0</xdr:col>
      <xdr:colOff>142875</xdr:colOff>
      <xdr:row>14</xdr:row>
      <xdr:rowOff>95250</xdr:rowOff>
    </xdr:to>
    <xdr:sp>
      <xdr:nvSpPr>
        <xdr:cNvPr id="39" name="Line 39"/>
        <xdr:cNvSpPr>
          <a:spLocks/>
        </xdr:cNvSpPr>
      </xdr:nvSpPr>
      <xdr:spPr>
        <a:xfrm>
          <a:off x="57150" y="2466975"/>
          <a:ext cx="85725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19050</xdr:colOff>
      <xdr:row>17</xdr:row>
      <xdr:rowOff>66675</xdr:rowOff>
    </xdr:from>
    <xdr:to>
      <xdr:col>19</xdr:col>
      <xdr:colOff>152400</xdr:colOff>
      <xdr:row>17</xdr:row>
      <xdr:rowOff>66675</xdr:rowOff>
    </xdr:to>
    <xdr:sp>
      <xdr:nvSpPr>
        <xdr:cNvPr id="40" name="Line 40"/>
        <xdr:cNvSpPr>
          <a:spLocks/>
        </xdr:cNvSpPr>
      </xdr:nvSpPr>
      <xdr:spPr>
        <a:xfrm>
          <a:off x="3276600" y="2867025"/>
          <a:ext cx="13335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19050</xdr:colOff>
      <xdr:row>17</xdr:row>
      <xdr:rowOff>123825</xdr:rowOff>
    </xdr:from>
    <xdr:to>
      <xdr:col>19</xdr:col>
      <xdr:colOff>152400</xdr:colOff>
      <xdr:row>17</xdr:row>
      <xdr:rowOff>123825</xdr:rowOff>
    </xdr:to>
    <xdr:sp>
      <xdr:nvSpPr>
        <xdr:cNvPr id="41" name="Line 41"/>
        <xdr:cNvSpPr>
          <a:spLocks/>
        </xdr:cNvSpPr>
      </xdr:nvSpPr>
      <xdr:spPr>
        <a:xfrm>
          <a:off x="3276600" y="2924175"/>
          <a:ext cx="13335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37</xdr:row>
      <xdr:rowOff>0</xdr:rowOff>
    </xdr:from>
    <xdr:to>
      <xdr:col>29</xdr:col>
      <xdr:colOff>0</xdr:colOff>
      <xdr:row>37</xdr:row>
      <xdr:rowOff>171450</xdr:rowOff>
    </xdr:to>
    <xdr:sp>
      <xdr:nvSpPr>
        <xdr:cNvPr id="42" name="Line 42"/>
        <xdr:cNvSpPr>
          <a:spLocks/>
        </xdr:cNvSpPr>
      </xdr:nvSpPr>
      <xdr:spPr>
        <a:xfrm flipH="1">
          <a:off x="4800600" y="6200775"/>
          <a:ext cx="171450" cy="171450"/>
        </a:xfrm>
        <a:prstGeom prst="line">
          <a:avLst/>
        </a:prstGeom>
        <a:noFill/>
        <a:ln w="190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37</xdr:row>
      <xdr:rowOff>0</xdr:rowOff>
    </xdr:from>
    <xdr:to>
      <xdr:col>31</xdr:col>
      <xdr:colOff>171450</xdr:colOff>
      <xdr:row>37</xdr:row>
      <xdr:rowOff>171450</xdr:rowOff>
    </xdr:to>
    <xdr:sp>
      <xdr:nvSpPr>
        <xdr:cNvPr id="43" name="Line 43"/>
        <xdr:cNvSpPr>
          <a:spLocks/>
        </xdr:cNvSpPr>
      </xdr:nvSpPr>
      <xdr:spPr>
        <a:xfrm flipH="1">
          <a:off x="5314950" y="6200775"/>
          <a:ext cx="171450" cy="171450"/>
        </a:xfrm>
        <a:prstGeom prst="line">
          <a:avLst/>
        </a:prstGeom>
        <a:noFill/>
        <a:ln w="190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41</xdr:row>
      <xdr:rowOff>9525</xdr:rowOff>
    </xdr:from>
    <xdr:to>
      <xdr:col>4</xdr:col>
      <xdr:colOff>0</xdr:colOff>
      <xdr:row>41</xdr:row>
      <xdr:rowOff>171450</xdr:rowOff>
    </xdr:to>
    <xdr:sp>
      <xdr:nvSpPr>
        <xdr:cNvPr id="44" name="Line 45"/>
        <xdr:cNvSpPr>
          <a:spLocks/>
        </xdr:cNvSpPr>
      </xdr:nvSpPr>
      <xdr:spPr>
        <a:xfrm flipH="1">
          <a:off x="514350" y="6819900"/>
          <a:ext cx="171450" cy="161925"/>
        </a:xfrm>
        <a:prstGeom prst="line">
          <a:avLst/>
        </a:prstGeom>
        <a:noFill/>
        <a:ln w="190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171450</xdr:colOff>
      <xdr:row>45</xdr:row>
      <xdr:rowOff>0</xdr:rowOff>
    </xdr:from>
    <xdr:to>
      <xdr:col>2</xdr:col>
      <xdr:colOff>9525</xdr:colOff>
      <xdr:row>45</xdr:row>
      <xdr:rowOff>180975</xdr:rowOff>
    </xdr:to>
    <xdr:sp>
      <xdr:nvSpPr>
        <xdr:cNvPr id="45" name="Line 46"/>
        <xdr:cNvSpPr>
          <a:spLocks/>
        </xdr:cNvSpPr>
      </xdr:nvSpPr>
      <xdr:spPr>
        <a:xfrm flipH="1">
          <a:off x="171450" y="7381875"/>
          <a:ext cx="180975" cy="171450"/>
        </a:xfrm>
        <a:prstGeom prst="line">
          <a:avLst/>
        </a:prstGeom>
        <a:noFill/>
        <a:ln w="190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171450</xdr:colOff>
      <xdr:row>49</xdr:row>
      <xdr:rowOff>0</xdr:rowOff>
    </xdr:from>
    <xdr:to>
      <xdr:col>1</xdr:col>
      <xdr:colOff>161925</xdr:colOff>
      <xdr:row>49</xdr:row>
      <xdr:rowOff>171450</xdr:rowOff>
    </xdr:to>
    <xdr:sp>
      <xdr:nvSpPr>
        <xdr:cNvPr id="46" name="Line 47"/>
        <xdr:cNvSpPr>
          <a:spLocks/>
        </xdr:cNvSpPr>
      </xdr:nvSpPr>
      <xdr:spPr>
        <a:xfrm flipH="1">
          <a:off x="171450" y="8143875"/>
          <a:ext cx="161925" cy="171450"/>
        </a:xfrm>
        <a:prstGeom prst="line">
          <a:avLst/>
        </a:prstGeom>
        <a:noFill/>
        <a:ln w="190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11</xdr:row>
      <xdr:rowOff>95250</xdr:rowOff>
    </xdr:from>
    <xdr:to>
      <xdr:col>9</xdr:col>
      <xdr:colOff>142875</xdr:colOff>
      <xdr:row>11</xdr:row>
      <xdr:rowOff>95250</xdr:rowOff>
    </xdr:to>
    <xdr:sp>
      <xdr:nvSpPr>
        <xdr:cNvPr id="47" name="Line 48"/>
        <xdr:cNvSpPr>
          <a:spLocks/>
        </xdr:cNvSpPr>
      </xdr:nvSpPr>
      <xdr:spPr>
        <a:xfrm>
          <a:off x="1600200" y="2028825"/>
          <a:ext cx="85725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57150</xdr:colOff>
      <xdr:row>11</xdr:row>
      <xdr:rowOff>95250</xdr:rowOff>
    </xdr:from>
    <xdr:to>
      <xdr:col>25</xdr:col>
      <xdr:colOff>142875</xdr:colOff>
      <xdr:row>11</xdr:row>
      <xdr:rowOff>95250</xdr:rowOff>
    </xdr:to>
    <xdr:sp>
      <xdr:nvSpPr>
        <xdr:cNvPr id="48" name="Line 49"/>
        <xdr:cNvSpPr>
          <a:spLocks/>
        </xdr:cNvSpPr>
      </xdr:nvSpPr>
      <xdr:spPr>
        <a:xfrm>
          <a:off x="4343400" y="2028825"/>
          <a:ext cx="85725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57150</xdr:colOff>
      <xdr:row>14</xdr:row>
      <xdr:rowOff>95250</xdr:rowOff>
    </xdr:from>
    <xdr:to>
      <xdr:col>28</xdr:col>
      <xdr:colOff>142875</xdr:colOff>
      <xdr:row>14</xdr:row>
      <xdr:rowOff>95250</xdr:rowOff>
    </xdr:to>
    <xdr:sp>
      <xdr:nvSpPr>
        <xdr:cNvPr id="49" name="Line 50"/>
        <xdr:cNvSpPr>
          <a:spLocks/>
        </xdr:cNvSpPr>
      </xdr:nvSpPr>
      <xdr:spPr>
        <a:xfrm>
          <a:off x="4857750" y="2466975"/>
          <a:ext cx="85725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17</xdr:row>
      <xdr:rowOff>95250</xdr:rowOff>
    </xdr:from>
    <xdr:to>
      <xdr:col>3</xdr:col>
      <xdr:colOff>142875</xdr:colOff>
      <xdr:row>17</xdr:row>
      <xdr:rowOff>95250</xdr:rowOff>
    </xdr:to>
    <xdr:sp>
      <xdr:nvSpPr>
        <xdr:cNvPr id="50" name="Line 51"/>
        <xdr:cNvSpPr>
          <a:spLocks/>
        </xdr:cNvSpPr>
      </xdr:nvSpPr>
      <xdr:spPr>
        <a:xfrm>
          <a:off x="571500" y="2895600"/>
          <a:ext cx="85725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20</xdr:row>
      <xdr:rowOff>95250</xdr:rowOff>
    </xdr:from>
    <xdr:to>
      <xdr:col>0</xdr:col>
      <xdr:colOff>142875</xdr:colOff>
      <xdr:row>20</xdr:row>
      <xdr:rowOff>95250</xdr:rowOff>
    </xdr:to>
    <xdr:sp>
      <xdr:nvSpPr>
        <xdr:cNvPr id="51" name="Line 52"/>
        <xdr:cNvSpPr>
          <a:spLocks/>
        </xdr:cNvSpPr>
      </xdr:nvSpPr>
      <xdr:spPr>
        <a:xfrm>
          <a:off x="57150" y="3343275"/>
          <a:ext cx="85725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28</xdr:row>
      <xdr:rowOff>95250</xdr:rowOff>
    </xdr:from>
    <xdr:to>
      <xdr:col>3</xdr:col>
      <xdr:colOff>142875</xdr:colOff>
      <xdr:row>28</xdr:row>
      <xdr:rowOff>95250</xdr:rowOff>
    </xdr:to>
    <xdr:sp>
      <xdr:nvSpPr>
        <xdr:cNvPr id="52" name="Line 53"/>
        <xdr:cNvSpPr>
          <a:spLocks/>
        </xdr:cNvSpPr>
      </xdr:nvSpPr>
      <xdr:spPr>
        <a:xfrm>
          <a:off x="571500" y="4667250"/>
          <a:ext cx="85725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30</xdr:row>
      <xdr:rowOff>95250</xdr:rowOff>
    </xdr:from>
    <xdr:to>
      <xdr:col>0</xdr:col>
      <xdr:colOff>142875</xdr:colOff>
      <xdr:row>30</xdr:row>
      <xdr:rowOff>95250</xdr:rowOff>
    </xdr:to>
    <xdr:sp>
      <xdr:nvSpPr>
        <xdr:cNvPr id="53" name="Line 54"/>
        <xdr:cNvSpPr>
          <a:spLocks/>
        </xdr:cNvSpPr>
      </xdr:nvSpPr>
      <xdr:spPr>
        <a:xfrm>
          <a:off x="57150" y="5029200"/>
          <a:ext cx="85725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37</xdr:row>
      <xdr:rowOff>95250</xdr:rowOff>
    </xdr:from>
    <xdr:to>
      <xdr:col>0</xdr:col>
      <xdr:colOff>142875</xdr:colOff>
      <xdr:row>37</xdr:row>
      <xdr:rowOff>95250</xdr:rowOff>
    </xdr:to>
    <xdr:sp>
      <xdr:nvSpPr>
        <xdr:cNvPr id="54" name="Line 55"/>
        <xdr:cNvSpPr>
          <a:spLocks/>
        </xdr:cNvSpPr>
      </xdr:nvSpPr>
      <xdr:spPr>
        <a:xfrm>
          <a:off x="57150" y="6296025"/>
          <a:ext cx="85725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161925</xdr:colOff>
      <xdr:row>41</xdr:row>
      <xdr:rowOff>0</xdr:rowOff>
    </xdr:from>
    <xdr:to>
      <xdr:col>22</xdr:col>
      <xdr:colOff>171450</xdr:colOff>
      <xdr:row>41</xdr:row>
      <xdr:rowOff>171450</xdr:rowOff>
    </xdr:to>
    <xdr:sp>
      <xdr:nvSpPr>
        <xdr:cNvPr id="55" name="Line 56"/>
        <xdr:cNvSpPr>
          <a:spLocks/>
        </xdr:cNvSpPr>
      </xdr:nvSpPr>
      <xdr:spPr>
        <a:xfrm flipH="1">
          <a:off x="3762375" y="6810375"/>
          <a:ext cx="180975" cy="171450"/>
        </a:xfrm>
        <a:prstGeom prst="line">
          <a:avLst/>
        </a:prstGeom>
        <a:noFill/>
        <a:ln w="190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37</xdr:row>
      <xdr:rowOff>9525</xdr:rowOff>
    </xdr:from>
    <xdr:to>
      <xdr:col>34</xdr:col>
      <xdr:colOff>171450</xdr:colOff>
      <xdr:row>38</xdr:row>
      <xdr:rowOff>9525</xdr:rowOff>
    </xdr:to>
    <xdr:sp>
      <xdr:nvSpPr>
        <xdr:cNvPr id="56" name="Line 43"/>
        <xdr:cNvSpPr>
          <a:spLocks/>
        </xdr:cNvSpPr>
      </xdr:nvSpPr>
      <xdr:spPr>
        <a:xfrm flipH="1">
          <a:off x="5829300" y="6210300"/>
          <a:ext cx="171450" cy="180975"/>
        </a:xfrm>
        <a:prstGeom prst="line">
          <a:avLst/>
        </a:prstGeom>
        <a:noFill/>
        <a:ln w="190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3</xdr:row>
      <xdr:rowOff>66675</xdr:rowOff>
    </xdr:from>
    <xdr:to>
      <xdr:col>2</xdr:col>
      <xdr:colOff>152400</xdr:colOff>
      <xdr:row>3</xdr:row>
      <xdr:rowOff>66675</xdr:rowOff>
    </xdr:to>
    <xdr:sp>
      <xdr:nvSpPr>
        <xdr:cNvPr id="1" name="Line 1"/>
        <xdr:cNvSpPr>
          <a:spLocks/>
        </xdr:cNvSpPr>
      </xdr:nvSpPr>
      <xdr:spPr>
        <a:xfrm>
          <a:off x="361950" y="552450"/>
          <a:ext cx="13335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3</xdr:row>
      <xdr:rowOff>123825</xdr:rowOff>
    </xdr:from>
    <xdr:to>
      <xdr:col>2</xdr:col>
      <xdr:colOff>152400</xdr:colOff>
      <xdr:row>3</xdr:row>
      <xdr:rowOff>123825</xdr:rowOff>
    </xdr:to>
    <xdr:sp>
      <xdr:nvSpPr>
        <xdr:cNvPr id="2" name="Line 2"/>
        <xdr:cNvSpPr>
          <a:spLocks/>
        </xdr:cNvSpPr>
      </xdr:nvSpPr>
      <xdr:spPr>
        <a:xfrm>
          <a:off x="361950" y="609600"/>
          <a:ext cx="13335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3</xdr:row>
      <xdr:rowOff>95250</xdr:rowOff>
    </xdr:from>
    <xdr:to>
      <xdr:col>4</xdr:col>
      <xdr:colOff>171450</xdr:colOff>
      <xdr:row>3</xdr:row>
      <xdr:rowOff>95250</xdr:rowOff>
    </xdr:to>
    <xdr:sp>
      <xdr:nvSpPr>
        <xdr:cNvPr id="3" name="Line 3"/>
        <xdr:cNvSpPr>
          <a:spLocks/>
        </xdr:cNvSpPr>
      </xdr:nvSpPr>
      <xdr:spPr>
        <a:xfrm>
          <a:off x="714375" y="581025"/>
          <a:ext cx="1428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19050</xdr:colOff>
      <xdr:row>5</xdr:row>
      <xdr:rowOff>66675</xdr:rowOff>
    </xdr:from>
    <xdr:to>
      <xdr:col>37</xdr:col>
      <xdr:colOff>142875</xdr:colOff>
      <xdr:row>5</xdr:row>
      <xdr:rowOff>66675</xdr:rowOff>
    </xdr:to>
    <xdr:sp>
      <xdr:nvSpPr>
        <xdr:cNvPr id="4" name="Line 4"/>
        <xdr:cNvSpPr>
          <a:spLocks/>
        </xdr:cNvSpPr>
      </xdr:nvSpPr>
      <xdr:spPr>
        <a:xfrm>
          <a:off x="6362700" y="914400"/>
          <a:ext cx="123825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19050</xdr:colOff>
      <xdr:row>5</xdr:row>
      <xdr:rowOff>123825</xdr:rowOff>
    </xdr:from>
    <xdr:to>
      <xdr:col>37</xdr:col>
      <xdr:colOff>142875</xdr:colOff>
      <xdr:row>5</xdr:row>
      <xdr:rowOff>123825</xdr:rowOff>
    </xdr:to>
    <xdr:sp>
      <xdr:nvSpPr>
        <xdr:cNvPr id="5" name="Line 5"/>
        <xdr:cNvSpPr>
          <a:spLocks/>
        </xdr:cNvSpPr>
      </xdr:nvSpPr>
      <xdr:spPr>
        <a:xfrm>
          <a:off x="6362700" y="971550"/>
          <a:ext cx="123825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19050</xdr:colOff>
      <xdr:row>7</xdr:row>
      <xdr:rowOff>66675</xdr:rowOff>
    </xdr:from>
    <xdr:to>
      <xdr:col>17</xdr:col>
      <xdr:colOff>152400</xdr:colOff>
      <xdr:row>7</xdr:row>
      <xdr:rowOff>66675</xdr:rowOff>
    </xdr:to>
    <xdr:sp>
      <xdr:nvSpPr>
        <xdr:cNvPr id="6" name="Line 6"/>
        <xdr:cNvSpPr>
          <a:spLocks/>
        </xdr:cNvSpPr>
      </xdr:nvSpPr>
      <xdr:spPr>
        <a:xfrm>
          <a:off x="2933700" y="1276350"/>
          <a:ext cx="13335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19050</xdr:colOff>
      <xdr:row>7</xdr:row>
      <xdr:rowOff>123825</xdr:rowOff>
    </xdr:from>
    <xdr:to>
      <xdr:col>17</xdr:col>
      <xdr:colOff>152400</xdr:colOff>
      <xdr:row>7</xdr:row>
      <xdr:rowOff>123825</xdr:rowOff>
    </xdr:to>
    <xdr:sp>
      <xdr:nvSpPr>
        <xdr:cNvPr id="7" name="Line 7"/>
        <xdr:cNvSpPr>
          <a:spLocks/>
        </xdr:cNvSpPr>
      </xdr:nvSpPr>
      <xdr:spPr>
        <a:xfrm>
          <a:off x="2933700" y="1333500"/>
          <a:ext cx="13335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11</xdr:row>
      <xdr:rowOff>66675</xdr:rowOff>
    </xdr:from>
    <xdr:to>
      <xdr:col>2</xdr:col>
      <xdr:colOff>152400</xdr:colOff>
      <xdr:row>11</xdr:row>
      <xdr:rowOff>66675</xdr:rowOff>
    </xdr:to>
    <xdr:sp>
      <xdr:nvSpPr>
        <xdr:cNvPr id="8" name="Line 8"/>
        <xdr:cNvSpPr>
          <a:spLocks/>
        </xdr:cNvSpPr>
      </xdr:nvSpPr>
      <xdr:spPr>
        <a:xfrm>
          <a:off x="361950" y="2000250"/>
          <a:ext cx="13335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11</xdr:row>
      <xdr:rowOff>123825</xdr:rowOff>
    </xdr:from>
    <xdr:to>
      <xdr:col>2</xdr:col>
      <xdr:colOff>152400</xdr:colOff>
      <xdr:row>11</xdr:row>
      <xdr:rowOff>123825</xdr:rowOff>
    </xdr:to>
    <xdr:sp>
      <xdr:nvSpPr>
        <xdr:cNvPr id="9" name="Line 9"/>
        <xdr:cNvSpPr>
          <a:spLocks/>
        </xdr:cNvSpPr>
      </xdr:nvSpPr>
      <xdr:spPr>
        <a:xfrm>
          <a:off x="361950" y="2057400"/>
          <a:ext cx="13335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11</xdr:row>
      <xdr:rowOff>95250</xdr:rowOff>
    </xdr:from>
    <xdr:to>
      <xdr:col>2</xdr:col>
      <xdr:colOff>152400</xdr:colOff>
      <xdr:row>11</xdr:row>
      <xdr:rowOff>95250</xdr:rowOff>
    </xdr:to>
    <xdr:sp>
      <xdr:nvSpPr>
        <xdr:cNvPr id="10" name="Line 10"/>
        <xdr:cNvSpPr>
          <a:spLocks/>
        </xdr:cNvSpPr>
      </xdr:nvSpPr>
      <xdr:spPr>
        <a:xfrm>
          <a:off x="361950" y="2028825"/>
          <a:ext cx="13335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19050</xdr:colOff>
      <xdr:row>11</xdr:row>
      <xdr:rowOff>66675</xdr:rowOff>
    </xdr:from>
    <xdr:to>
      <xdr:col>37</xdr:col>
      <xdr:colOff>142875</xdr:colOff>
      <xdr:row>11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6362700" y="2000250"/>
          <a:ext cx="123825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19050</xdr:colOff>
      <xdr:row>11</xdr:row>
      <xdr:rowOff>123825</xdr:rowOff>
    </xdr:from>
    <xdr:to>
      <xdr:col>37</xdr:col>
      <xdr:colOff>142875</xdr:colOff>
      <xdr:row>11</xdr:row>
      <xdr:rowOff>123825</xdr:rowOff>
    </xdr:to>
    <xdr:sp>
      <xdr:nvSpPr>
        <xdr:cNvPr id="12" name="Line 12"/>
        <xdr:cNvSpPr>
          <a:spLocks/>
        </xdr:cNvSpPr>
      </xdr:nvSpPr>
      <xdr:spPr>
        <a:xfrm>
          <a:off x="6362700" y="2057400"/>
          <a:ext cx="123825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9525</xdr:colOff>
      <xdr:row>17</xdr:row>
      <xdr:rowOff>47625</xdr:rowOff>
    </xdr:from>
    <xdr:to>
      <xdr:col>37</xdr:col>
      <xdr:colOff>142875</xdr:colOff>
      <xdr:row>17</xdr:row>
      <xdr:rowOff>47625</xdr:rowOff>
    </xdr:to>
    <xdr:sp>
      <xdr:nvSpPr>
        <xdr:cNvPr id="13" name="Line 13"/>
        <xdr:cNvSpPr>
          <a:spLocks/>
        </xdr:cNvSpPr>
      </xdr:nvSpPr>
      <xdr:spPr>
        <a:xfrm>
          <a:off x="6353175" y="2847975"/>
          <a:ext cx="13335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17</xdr:row>
      <xdr:rowOff>85725</xdr:rowOff>
    </xdr:from>
    <xdr:to>
      <xdr:col>37</xdr:col>
      <xdr:colOff>142875</xdr:colOff>
      <xdr:row>17</xdr:row>
      <xdr:rowOff>85725</xdr:rowOff>
    </xdr:to>
    <xdr:sp>
      <xdr:nvSpPr>
        <xdr:cNvPr id="14" name="Line 14"/>
        <xdr:cNvSpPr>
          <a:spLocks/>
        </xdr:cNvSpPr>
      </xdr:nvSpPr>
      <xdr:spPr>
        <a:xfrm>
          <a:off x="6343650" y="2886075"/>
          <a:ext cx="142875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19050</xdr:colOff>
      <xdr:row>24</xdr:row>
      <xdr:rowOff>66675</xdr:rowOff>
    </xdr:from>
    <xdr:to>
      <xdr:col>37</xdr:col>
      <xdr:colOff>142875</xdr:colOff>
      <xdr:row>24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6362700" y="4038600"/>
          <a:ext cx="123825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19050</xdr:colOff>
      <xdr:row>24</xdr:row>
      <xdr:rowOff>123825</xdr:rowOff>
    </xdr:from>
    <xdr:to>
      <xdr:col>37</xdr:col>
      <xdr:colOff>142875</xdr:colOff>
      <xdr:row>24</xdr:row>
      <xdr:rowOff>123825</xdr:rowOff>
    </xdr:to>
    <xdr:sp>
      <xdr:nvSpPr>
        <xdr:cNvPr id="16" name="Line 16"/>
        <xdr:cNvSpPr>
          <a:spLocks/>
        </xdr:cNvSpPr>
      </xdr:nvSpPr>
      <xdr:spPr>
        <a:xfrm>
          <a:off x="6362700" y="4095750"/>
          <a:ext cx="123825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19050</xdr:colOff>
      <xdr:row>28</xdr:row>
      <xdr:rowOff>66675</xdr:rowOff>
    </xdr:from>
    <xdr:to>
      <xdr:col>37</xdr:col>
      <xdr:colOff>142875</xdr:colOff>
      <xdr:row>28</xdr:row>
      <xdr:rowOff>66675</xdr:rowOff>
    </xdr:to>
    <xdr:sp>
      <xdr:nvSpPr>
        <xdr:cNvPr id="17" name="Line 17"/>
        <xdr:cNvSpPr>
          <a:spLocks/>
        </xdr:cNvSpPr>
      </xdr:nvSpPr>
      <xdr:spPr>
        <a:xfrm>
          <a:off x="6362700" y="4638675"/>
          <a:ext cx="123825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19050</xdr:colOff>
      <xdr:row>28</xdr:row>
      <xdr:rowOff>123825</xdr:rowOff>
    </xdr:from>
    <xdr:to>
      <xdr:col>37</xdr:col>
      <xdr:colOff>142875</xdr:colOff>
      <xdr:row>28</xdr:row>
      <xdr:rowOff>123825</xdr:rowOff>
    </xdr:to>
    <xdr:sp>
      <xdr:nvSpPr>
        <xdr:cNvPr id="18" name="Line 18"/>
        <xdr:cNvSpPr>
          <a:spLocks/>
        </xdr:cNvSpPr>
      </xdr:nvSpPr>
      <xdr:spPr>
        <a:xfrm>
          <a:off x="6362700" y="4695825"/>
          <a:ext cx="123825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19050</xdr:colOff>
      <xdr:row>33</xdr:row>
      <xdr:rowOff>66675</xdr:rowOff>
    </xdr:from>
    <xdr:to>
      <xdr:col>37</xdr:col>
      <xdr:colOff>142875</xdr:colOff>
      <xdr:row>33</xdr:row>
      <xdr:rowOff>66675</xdr:rowOff>
    </xdr:to>
    <xdr:sp>
      <xdr:nvSpPr>
        <xdr:cNvPr id="19" name="Line 19"/>
        <xdr:cNvSpPr>
          <a:spLocks/>
        </xdr:cNvSpPr>
      </xdr:nvSpPr>
      <xdr:spPr>
        <a:xfrm>
          <a:off x="6362700" y="5543550"/>
          <a:ext cx="123825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19050</xdr:colOff>
      <xdr:row>33</xdr:row>
      <xdr:rowOff>123825</xdr:rowOff>
    </xdr:from>
    <xdr:to>
      <xdr:col>37</xdr:col>
      <xdr:colOff>142875</xdr:colOff>
      <xdr:row>33</xdr:row>
      <xdr:rowOff>123825</xdr:rowOff>
    </xdr:to>
    <xdr:sp>
      <xdr:nvSpPr>
        <xdr:cNvPr id="20" name="Line 20"/>
        <xdr:cNvSpPr>
          <a:spLocks/>
        </xdr:cNvSpPr>
      </xdr:nvSpPr>
      <xdr:spPr>
        <a:xfrm>
          <a:off x="6362700" y="5600700"/>
          <a:ext cx="123825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19050</xdr:colOff>
      <xdr:row>45</xdr:row>
      <xdr:rowOff>66675</xdr:rowOff>
    </xdr:from>
    <xdr:to>
      <xdr:col>24</xdr:col>
      <xdr:colOff>142875</xdr:colOff>
      <xdr:row>45</xdr:row>
      <xdr:rowOff>66675</xdr:rowOff>
    </xdr:to>
    <xdr:sp>
      <xdr:nvSpPr>
        <xdr:cNvPr id="21" name="Line 21"/>
        <xdr:cNvSpPr>
          <a:spLocks/>
        </xdr:cNvSpPr>
      </xdr:nvSpPr>
      <xdr:spPr>
        <a:xfrm>
          <a:off x="4133850" y="7448550"/>
          <a:ext cx="123825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19050</xdr:colOff>
      <xdr:row>45</xdr:row>
      <xdr:rowOff>123825</xdr:rowOff>
    </xdr:from>
    <xdr:to>
      <xdr:col>24</xdr:col>
      <xdr:colOff>142875</xdr:colOff>
      <xdr:row>45</xdr:row>
      <xdr:rowOff>123825</xdr:rowOff>
    </xdr:to>
    <xdr:sp>
      <xdr:nvSpPr>
        <xdr:cNvPr id="22" name="Line 22"/>
        <xdr:cNvSpPr>
          <a:spLocks/>
        </xdr:cNvSpPr>
      </xdr:nvSpPr>
      <xdr:spPr>
        <a:xfrm>
          <a:off x="4133850" y="7505700"/>
          <a:ext cx="123825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19050</xdr:colOff>
      <xdr:row>49</xdr:row>
      <xdr:rowOff>66675</xdr:rowOff>
    </xdr:from>
    <xdr:to>
      <xdr:col>37</xdr:col>
      <xdr:colOff>142875</xdr:colOff>
      <xdr:row>49</xdr:row>
      <xdr:rowOff>66675</xdr:rowOff>
    </xdr:to>
    <xdr:sp>
      <xdr:nvSpPr>
        <xdr:cNvPr id="23" name="Line 23"/>
        <xdr:cNvSpPr>
          <a:spLocks/>
        </xdr:cNvSpPr>
      </xdr:nvSpPr>
      <xdr:spPr>
        <a:xfrm>
          <a:off x="6362700" y="8210550"/>
          <a:ext cx="123825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19050</xdr:colOff>
      <xdr:row>49</xdr:row>
      <xdr:rowOff>123825</xdr:rowOff>
    </xdr:from>
    <xdr:to>
      <xdr:col>37</xdr:col>
      <xdr:colOff>142875</xdr:colOff>
      <xdr:row>49</xdr:row>
      <xdr:rowOff>123825</xdr:rowOff>
    </xdr:to>
    <xdr:sp>
      <xdr:nvSpPr>
        <xdr:cNvPr id="24" name="Line 24"/>
        <xdr:cNvSpPr>
          <a:spLocks/>
        </xdr:cNvSpPr>
      </xdr:nvSpPr>
      <xdr:spPr>
        <a:xfrm>
          <a:off x="6362700" y="8267700"/>
          <a:ext cx="123825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19050</xdr:colOff>
      <xdr:row>51</xdr:row>
      <xdr:rowOff>66675</xdr:rowOff>
    </xdr:from>
    <xdr:to>
      <xdr:col>24</xdr:col>
      <xdr:colOff>142875</xdr:colOff>
      <xdr:row>51</xdr:row>
      <xdr:rowOff>66675</xdr:rowOff>
    </xdr:to>
    <xdr:sp>
      <xdr:nvSpPr>
        <xdr:cNvPr id="25" name="Line 25"/>
        <xdr:cNvSpPr>
          <a:spLocks/>
        </xdr:cNvSpPr>
      </xdr:nvSpPr>
      <xdr:spPr>
        <a:xfrm>
          <a:off x="4133850" y="8591550"/>
          <a:ext cx="123825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19050</xdr:colOff>
      <xdr:row>51</xdr:row>
      <xdr:rowOff>123825</xdr:rowOff>
    </xdr:from>
    <xdr:to>
      <xdr:col>24</xdr:col>
      <xdr:colOff>142875</xdr:colOff>
      <xdr:row>51</xdr:row>
      <xdr:rowOff>123825</xdr:rowOff>
    </xdr:to>
    <xdr:sp>
      <xdr:nvSpPr>
        <xdr:cNvPr id="26" name="Line 26"/>
        <xdr:cNvSpPr>
          <a:spLocks/>
        </xdr:cNvSpPr>
      </xdr:nvSpPr>
      <xdr:spPr>
        <a:xfrm>
          <a:off x="4133850" y="8648700"/>
          <a:ext cx="123825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7</xdr:row>
      <xdr:rowOff>95250</xdr:rowOff>
    </xdr:from>
    <xdr:to>
      <xdr:col>6</xdr:col>
      <xdr:colOff>161925</xdr:colOff>
      <xdr:row>7</xdr:row>
      <xdr:rowOff>95250</xdr:rowOff>
    </xdr:to>
    <xdr:sp>
      <xdr:nvSpPr>
        <xdr:cNvPr id="27" name="Line 27"/>
        <xdr:cNvSpPr>
          <a:spLocks/>
        </xdr:cNvSpPr>
      </xdr:nvSpPr>
      <xdr:spPr>
        <a:xfrm>
          <a:off x="1057275" y="1304925"/>
          <a:ext cx="1333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28575</xdr:colOff>
      <xdr:row>20</xdr:row>
      <xdr:rowOff>95250</xdr:rowOff>
    </xdr:from>
    <xdr:to>
      <xdr:col>12</xdr:col>
      <xdr:colOff>171450</xdr:colOff>
      <xdr:row>20</xdr:row>
      <xdr:rowOff>95250</xdr:rowOff>
    </xdr:to>
    <xdr:sp>
      <xdr:nvSpPr>
        <xdr:cNvPr id="28" name="Line 28"/>
        <xdr:cNvSpPr>
          <a:spLocks/>
        </xdr:cNvSpPr>
      </xdr:nvSpPr>
      <xdr:spPr>
        <a:xfrm>
          <a:off x="2085975" y="3343275"/>
          <a:ext cx="1428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28575</xdr:colOff>
      <xdr:row>28</xdr:row>
      <xdr:rowOff>95250</xdr:rowOff>
    </xdr:from>
    <xdr:to>
      <xdr:col>21</xdr:col>
      <xdr:colOff>161925</xdr:colOff>
      <xdr:row>28</xdr:row>
      <xdr:rowOff>95250</xdr:rowOff>
    </xdr:to>
    <xdr:sp>
      <xdr:nvSpPr>
        <xdr:cNvPr id="29" name="Line 29"/>
        <xdr:cNvSpPr>
          <a:spLocks/>
        </xdr:cNvSpPr>
      </xdr:nvSpPr>
      <xdr:spPr>
        <a:xfrm>
          <a:off x="3629025" y="4667250"/>
          <a:ext cx="1333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28575</xdr:colOff>
      <xdr:row>28</xdr:row>
      <xdr:rowOff>95250</xdr:rowOff>
    </xdr:from>
    <xdr:to>
      <xdr:col>30</xdr:col>
      <xdr:colOff>171450</xdr:colOff>
      <xdr:row>28</xdr:row>
      <xdr:rowOff>95250</xdr:rowOff>
    </xdr:to>
    <xdr:sp>
      <xdr:nvSpPr>
        <xdr:cNvPr id="30" name="Line 30"/>
        <xdr:cNvSpPr>
          <a:spLocks/>
        </xdr:cNvSpPr>
      </xdr:nvSpPr>
      <xdr:spPr>
        <a:xfrm>
          <a:off x="5172075" y="4667250"/>
          <a:ext cx="1428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37</xdr:row>
      <xdr:rowOff>95250</xdr:rowOff>
    </xdr:from>
    <xdr:to>
      <xdr:col>9</xdr:col>
      <xdr:colOff>171450</xdr:colOff>
      <xdr:row>37</xdr:row>
      <xdr:rowOff>95250</xdr:rowOff>
    </xdr:to>
    <xdr:sp>
      <xdr:nvSpPr>
        <xdr:cNvPr id="31" name="Line 31"/>
        <xdr:cNvSpPr>
          <a:spLocks/>
        </xdr:cNvSpPr>
      </xdr:nvSpPr>
      <xdr:spPr>
        <a:xfrm>
          <a:off x="1571625" y="6296025"/>
          <a:ext cx="1428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28575</xdr:colOff>
      <xdr:row>37</xdr:row>
      <xdr:rowOff>95250</xdr:rowOff>
    </xdr:from>
    <xdr:to>
      <xdr:col>25</xdr:col>
      <xdr:colOff>171450</xdr:colOff>
      <xdr:row>37</xdr:row>
      <xdr:rowOff>95250</xdr:rowOff>
    </xdr:to>
    <xdr:sp>
      <xdr:nvSpPr>
        <xdr:cNvPr id="32" name="Line 32"/>
        <xdr:cNvSpPr>
          <a:spLocks/>
        </xdr:cNvSpPr>
      </xdr:nvSpPr>
      <xdr:spPr>
        <a:xfrm>
          <a:off x="4314825" y="6296025"/>
          <a:ext cx="1428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123825</xdr:colOff>
      <xdr:row>41</xdr:row>
      <xdr:rowOff>85725</xdr:rowOff>
    </xdr:from>
    <xdr:to>
      <xdr:col>2</xdr:col>
      <xdr:colOff>95250</xdr:colOff>
      <xdr:row>41</xdr:row>
      <xdr:rowOff>85725</xdr:rowOff>
    </xdr:to>
    <xdr:sp>
      <xdr:nvSpPr>
        <xdr:cNvPr id="33" name="Line 33"/>
        <xdr:cNvSpPr>
          <a:spLocks/>
        </xdr:cNvSpPr>
      </xdr:nvSpPr>
      <xdr:spPr>
        <a:xfrm>
          <a:off x="295275" y="6896100"/>
          <a:ext cx="1428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28575</xdr:colOff>
      <xdr:row>41</xdr:row>
      <xdr:rowOff>95250</xdr:rowOff>
    </xdr:from>
    <xdr:to>
      <xdr:col>21</xdr:col>
      <xdr:colOff>161925</xdr:colOff>
      <xdr:row>41</xdr:row>
      <xdr:rowOff>95250</xdr:rowOff>
    </xdr:to>
    <xdr:sp>
      <xdr:nvSpPr>
        <xdr:cNvPr id="34" name="Line 34"/>
        <xdr:cNvSpPr>
          <a:spLocks/>
        </xdr:cNvSpPr>
      </xdr:nvSpPr>
      <xdr:spPr>
        <a:xfrm>
          <a:off x="3629025" y="6905625"/>
          <a:ext cx="1333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45</xdr:row>
      <xdr:rowOff>95250</xdr:rowOff>
    </xdr:from>
    <xdr:to>
      <xdr:col>0</xdr:col>
      <xdr:colOff>171450</xdr:colOff>
      <xdr:row>45</xdr:row>
      <xdr:rowOff>95250</xdr:rowOff>
    </xdr:to>
    <xdr:sp>
      <xdr:nvSpPr>
        <xdr:cNvPr id="35" name="Line 35"/>
        <xdr:cNvSpPr>
          <a:spLocks/>
        </xdr:cNvSpPr>
      </xdr:nvSpPr>
      <xdr:spPr>
        <a:xfrm>
          <a:off x="28575" y="7477125"/>
          <a:ext cx="1428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45</xdr:row>
      <xdr:rowOff>95250</xdr:rowOff>
    </xdr:from>
    <xdr:to>
      <xdr:col>5</xdr:col>
      <xdr:colOff>161925</xdr:colOff>
      <xdr:row>45</xdr:row>
      <xdr:rowOff>95250</xdr:rowOff>
    </xdr:to>
    <xdr:sp>
      <xdr:nvSpPr>
        <xdr:cNvPr id="36" name="Line 36"/>
        <xdr:cNvSpPr>
          <a:spLocks/>
        </xdr:cNvSpPr>
      </xdr:nvSpPr>
      <xdr:spPr>
        <a:xfrm>
          <a:off x="885825" y="7477125"/>
          <a:ext cx="1333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45</xdr:row>
      <xdr:rowOff>95250</xdr:rowOff>
    </xdr:from>
    <xdr:to>
      <xdr:col>9</xdr:col>
      <xdr:colOff>171450</xdr:colOff>
      <xdr:row>45</xdr:row>
      <xdr:rowOff>95250</xdr:rowOff>
    </xdr:to>
    <xdr:sp>
      <xdr:nvSpPr>
        <xdr:cNvPr id="37" name="Line 37"/>
        <xdr:cNvSpPr>
          <a:spLocks/>
        </xdr:cNvSpPr>
      </xdr:nvSpPr>
      <xdr:spPr>
        <a:xfrm>
          <a:off x="1571625" y="7477125"/>
          <a:ext cx="1428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49</xdr:row>
      <xdr:rowOff>95250</xdr:rowOff>
    </xdr:from>
    <xdr:to>
      <xdr:col>0</xdr:col>
      <xdr:colOff>171450</xdr:colOff>
      <xdr:row>49</xdr:row>
      <xdr:rowOff>95250</xdr:rowOff>
    </xdr:to>
    <xdr:sp>
      <xdr:nvSpPr>
        <xdr:cNvPr id="38" name="Line 38"/>
        <xdr:cNvSpPr>
          <a:spLocks/>
        </xdr:cNvSpPr>
      </xdr:nvSpPr>
      <xdr:spPr>
        <a:xfrm>
          <a:off x="28575" y="8239125"/>
          <a:ext cx="1428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14</xdr:row>
      <xdr:rowOff>95250</xdr:rowOff>
    </xdr:from>
    <xdr:to>
      <xdr:col>0</xdr:col>
      <xdr:colOff>142875</xdr:colOff>
      <xdr:row>14</xdr:row>
      <xdr:rowOff>95250</xdr:rowOff>
    </xdr:to>
    <xdr:sp>
      <xdr:nvSpPr>
        <xdr:cNvPr id="39" name="Line 39"/>
        <xdr:cNvSpPr>
          <a:spLocks/>
        </xdr:cNvSpPr>
      </xdr:nvSpPr>
      <xdr:spPr>
        <a:xfrm>
          <a:off x="57150" y="2466975"/>
          <a:ext cx="85725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19050</xdr:colOff>
      <xdr:row>17</xdr:row>
      <xdr:rowOff>66675</xdr:rowOff>
    </xdr:from>
    <xdr:to>
      <xdr:col>19</xdr:col>
      <xdr:colOff>152400</xdr:colOff>
      <xdr:row>17</xdr:row>
      <xdr:rowOff>66675</xdr:rowOff>
    </xdr:to>
    <xdr:sp>
      <xdr:nvSpPr>
        <xdr:cNvPr id="40" name="Line 40"/>
        <xdr:cNvSpPr>
          <a:spLocks/>
        </xdr:cNvSpPr>
      </xdr:nvSpPr>
      <xdr:spPr>
        <a:xfrm>
          <a:off x="3276600" y="2867025"/>
          <a:ext cx="13335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19050</xdr:colOff>
      <xdr:row>17</xdr:row>
      <xdr:rowOff>123825</xdr:rowOff>
    </xdr:from>
    <xdr:to>
      <xdr:col>19</xdr:col>
      <xdr:colOff>152400</xdr:colOff>
      <xdr:row>17</xdr:row>
      <xdr:rowOff>123825</xdr:rowOff>
    </xdr:to>
    <xdr:sp>
      <xdr:nvSpPr>
        <xdr:cNvPr id="41" name="Line 41"/>
        <xdr:cNvSpPr>
          <a:spLocks/>
        </xdr:cNvSpPr>
      </xdr:nvSpPr>
      <xdr:spPr>
        <a:xfrm>
          <a:off x="3276600" y="2924175"/>
          <a:ext cx="13335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37</xdr:row>
      <xdr:rowOff>0</xdr:rowOff>
    </xdr:from>
    <xdr:to>
      <xdr:col>29</xdr:col>
      <xdr:colOff>0</xdr:colOff>
      <xdr:row>37</xdr:row>
      <xdr:rowOff>171450</xdr:rowOff>
    </xdr:to>
    <xdr:sp>
      <xdr:nvSpPr>
        <xdr:cNvPr id="42" name="Line 42"/>
        <xdr:cNvSpPr>
          <a:spLocks/>
        </xdr:cNvSpPr>
      </xdr:nvSpPr>
      <xdr:spPr>
        <a:xfrm flipH="1">
          <a:off x="4800600" y="6200775"/>
          <a:ext cx="171450" cy="171450"/>
        </a:xfrm>
        <a:prstGeom prst="line">
          <a:avLst/>
        </a:prstGeom>
        <a:noFill/>
        <a:ln w="190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37</xdr:row>
      <xdr:rowOff>0</xdr:rowOff>
    </xdr:from>
    <xdr:to>
      <xdr:col>31</xdr:col>
      <xdr:colOff>171450</xdr:colOff>
      <xdr:row>37</xdr:row>
      <xdr:rowOff>171450</xdr:rowOff>
    </xdr:to>
    <xdr:sp>
      <xdr:nvSpPr>
        <xdr:cNvPr id="43" name="Line 43"/>
        <xdr:cNvSpPr>
          <a:spLocks/>
        </xdr:cNvSpPr>
      </xdr:nvSpPr>
      <xdr:spPr>
        <a:xfrm flipH="1">
          <a:off x="5314950" y="6200775"/>
          <a:ext cx="171450" cy="171450"/>
        </a:xfrm>
        <a:prstGeom prst="line">
          <a:avLst/>
        </a:prstGeom>
        <a:noFill/>
        <a:ln w="190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41</xdr:row>
      <xdr:rowOff>9525</xdr:rowOff>
    </xdr:from>
    <xdr:to>
      <xdr:col>4</xdr:col>
      <xdr:colOff>0</xdr:colOff>
      <xdr:row>41</xdr:row>
      <xdr:rowOff>171450</xdr:rowOff>
    </xdr:to>
    <xdr:sp>
      <xdr:nvSpPr>
        <xdr:cNvPr id="44" name="Line 45"/>
        <xdr:cNvSpPr>
          <a:spLocks/>
        </xdr:cNvSpPr>
      </xdr:nvSpPr>
      <xdr:spPr>
        <a:xfrm flipH="1">
          <a:off x="514350" y="6819900"/>
          <a:ext cx="171450" cy="161925"/>
        </a:xfrm>
        <a:prstGeom prst="line">
          <a:avLst/>
        </a:prstGeom>
        <a:noFill/>
        <a:ln w="190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171450</xdr:colOff>
      <xdr:row>45</xdr:row>
      <xdr:rowOff>0</xdr:rowOff>
    </xdr:from>
    <xdr:to>
      <xdr:col>2</xdr:col>
      <xdr:colOff>9525</xdr:colOff>
      <xdr:row>45</xdr:row>
      <xdr:rowOff>180975</xdr:rowOff>
    </xdr:to>
    <xdr:sp>
      <xdr:nvSpPr>
        <xdr:cNvPr id="45" name="Line 46"/>
        <xdr:cNvSpPr>
          <a:spLocks/>
        </xdr:cNvSpPr>
      </xdr:nvSpPr>
      <xdr:spPr>
        <a:xfrm flipH="1">
          <a:off x="171450" y="7381875"/>
          <a:ext cx="180975" cy="171450"/>
        </a:xfrm>
        <a:prstGeom prst="line">
          <a:avLst/>
        </a:prstGeom>
        <a:noFill/>
        <a:ln w="190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171450</xdr:colOff>
      <xdr:row>49</xdr:row>
      <xdr:rowOff>0</xdr:rowOff>
    </xdr:from>
    <xdr:to>
      <xdr:col>1</xdr:col>
      <xdr:colOff>161925</xdr:colOff>
      <xdr:row>49</xdr:row>
      <xdr:rowOff>171450</xdr:rowOff>
    </xdr:to>
    <xdr:sp>
      <xdr:nvSpPr>
        <xdr:cNvPr id="46" name="Line 47"/>
        <xdr:cNvSpPr>
          <a:spLocks/>
        </xdr:cNvSpPr>
      </xdr:nvSpPr>
      <xdr:spPr>
        <a:xfrm flipH="1">
          <a:off x="171450" y="8143875"/>
          <a:ext cx="161925" cy="171450"/>
        </a:xfrm>
        <a:prstGeom prst="line">
          <a:avLst/>
        </a:prstGeom>
        <a:noFill/>
        <a:ln w="190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11</xdr:row>
      <xdr:rowOff>95250</xdr:rowOff>
    </xdr:from>
    <xdr:to>
      <xdr:col>9</xdr:col>
      <xdr:colOff>142875</xdr:colOff>
      <xdr:row>11</xdr:row>
      <xdr:rowOff>95250</xdr:rowOff>
    </xdr:to>
    <xdr:sp>
      <xdr:nvSpPr>
        <xdr:cNvPr id="47" name="Line 48"/>
        <xdr:cNvSpPr>
          <a:spLocks/>
        </xdr:cNvSpPr>
      </xdr:nvSpPr>
      <xdr:spPr>
        <a:xfrm>
          <a:off x="1600200" y="2028825"/>
          <a:ext cx="85725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57150</xdr:colOff>
      <xdr:row>11</xdr:row>
      <xdr:rowOff>95250</xdr:rowOff>
    </xdr:from>
    <xdr:to>
      <xdr:col>25</xdr:col>
      <xdr:colOff>142875</xdr:colOff>
      <xdr:row>11</xdr:row>
      <xdr:rowOff>95250</xdr:rowOff>
    </xdr:to>
    <xdr:sp>
      <xdr:nvSpPr>
        <xdr:cNvPr id="48" name="Line 49"/>
        <xdr:cNvSpPr>
          <a:spLocks/>
        </xdr:cNvSpPr>
      </xdr:nvSpPr>
      <xdr:spPr>
        <a:xfrm>
          <a:off x="4343400" y="2028825"/>
          <a:ext cx="85725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57150</xdr:colOff>
      <xdr:row>14</xdr:row>
      <xdr:rowOff>95250</xdr:rowOff>
    </xdr:from>
    <xdr:to>
      <xdr:col>28</xdr:col>
      <xdr:colOff>142875</xdr:colOff>
      <xdr:row>14</xdr:row>
      <xdr:rowOff>95250</xdr:rowOff>
    </xdr:to>
    <xdr:sp>
      <xdr:nvSpPr>
        <xdr:cNvPr id="49" name="Line 50"/>
        <xdr:cNvSpPr>
          <a:spLocks/>
        </xdr:cNvSpPr>
      </xdr:nvSpPr>
      <xdr:spPr>
        <a:xfrm>
          <a:off x="4857750" y="2466975"/>
          <a:ext cx="85725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17</xdr:row>
      <xdr:rowOff>95250</xdr:rowOff>
    </xdr:from>
    <xdr:to>
      <xdr:col>3</xdr:col>
      <xdr:colOff>142875</xdr:colOff>
      <xdr:row>17</xdr:row>
      <xdr:rowOff>95250</xdr:rowOff>
    </xdr:to>
    <xdr:sp>
      <xdr:nvSpPr>
        <xdr:cNvPr id="50" name="Line 51"/>
        <xdr:cNvSpPr>
          <a:spLocks/>
        </xdr:cNvSpPr>
      </xdr:nvSpPr>
      <xdr:spPr>
        <a:xfrm>
          <a:off x="571500" y="2895600"/>
          <a:ext cx="85725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20</xdr:row>
      <xdr:rowOff>95250</xdr:rowOff>
    </xdr:from>
    <xdr:to>
      <xdr:col>0</xdr:col>
      <xdr:colOff>142875</xdr:colOff>
      <xdr:row>20</xdr:row>
      <xdr:rowOff>95250</xdr:rowOff>
    </xdr:to>
    <xdr:sp>
      <xdr:nvSpPr>
        <xdr:cNvPr id="51" name="Line 52"/>
        <xdr:cNvSpPr>
          <a:spLocks/>
        </xdr:cNvSpPr>
      </xdr:nvSpPr>
      <xdr:spPr>
        <a:xfrm>
          <a:off x="57150" y="3343275"/>
          <a:ext cx="85725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28</xdr:row>
      <xdr:rowOff>95250</xdr:rowOff>
    </xdr:from>
    <xdr:to>
      <xdr:col>3</xdr:col>
      <xdr:colOff>142875</xdr:colOff>
      <xdr:row>28</xdr:row>
      <xdr:rowOff>95250</xdr:rowOff>
    </xdr:to>
    <xdr:sp>
      <xdr:nvSpPr>
        <xdr:cNvPr id="52" name="Line 53"/>
        <xdr:cNvSpPr>
          <a:spLocks/>
        </xdr:cNvSpPr>
      </xdr:nvSpPr>
      <xdr:spPr>
        <a:xfrm>
          <a:off x="571500" y="4667250"/>
          <a:ext cx="85725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30</xdr:row>
      <xdr:rowOff>95250</xdr:rowOff>
    </xdr:from>
    <xdr:to>
      <xdr:col>0</xdr:col>
      <xdr:colOff>142875</xdr:colOff>
      <xdr:row>30</xdr:row>
      <xdr:rowOff>95250</xdr:rowOff>
    </xdr:to>
    <xdr:sp>
      <xdr:nvSpPr>
        <xdr:cNvPr id="53" name="Line 54"/>
        <xdr:cNvSpPr>
          <a:spLocks/>
        </xdr:cNvSpPr>
      </xdr:nvSpPr>
      <xdr:spPr>
        <a:xfrm>
          <a:off x="57150" y="5029200"/>
          <a:ext cx="85725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37</xdr:row>
      <xdr:rowOff>95250</xdr:rowOff>
    </xdr:from>
    <xdr:to>
      <xdr:col>0</xdr:col>
      <xdr:colOff>142875</xdr:colOff>
      <xdr:row>37</xdr:row>
      <xdr:rowOff>95250</xdr:rowOff>
    </xdr:to>
    <xdr:sp>
      <xdr:nvSpPr>
        <xdr:cNvPr id="54" name="Line 55"/>
        <xdr:cNvSpPr>
          <a:spLocks/>
        </xdr:cNvSpPr>
      </xdr:nvSpPr>
      <xdr:spPr>
        <a:xfrm>
          <a:off x="57150" y="6296025"/>
          <a:ext cx="85725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161925</xdr:colOff>
      <xdr:row>41</xdr:row>
      <xdr:rowOff>0</xdr:rowOff>
    </xdr:from>
    <xdr:to>
      <xdr:col>22</xdr:col>
      <xdr:colOff>171450</xdr:colOff>
      <xdr:row>41</xdr:row>
      <xdr:rowOff>171450</xdr:rowOff>
    </xdr:to>
    <xdr:sp>
      <xdr:nvSpPr>
        <xdr:cNvPr id="55" name="Line 56"/>
        <xdr:cNvSpPr>
          <a:spLocks/>
        </xdr:cNvSpPr>
      </xdr:nvSpPr>
      <xdr:spPr>
        <a:xfrm flipH="1">
          <a:off x="3762375" y="6810375"/>
          <a:ext cx="180975" cy="171450"/>
        </a:xfrm>
        <a:prstGeom prst="line">
          <a:avLst/>
        </a:prstGeom>
        <a:noFill/>
        <a:ln w="190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37</xdr:row>
      <xdr:rowOff>9525</xdr:rowOff>
    </xdr:from>
    <xdr:to>
      <xdr:col>34</xdr:col>
      <xdr:colOff>171450</xdr:colOff>
      <xdr:row>38</xdr:row>
      <xdr:rowOff>9525</xdr:rowOff>
    </xdr:to>
    <xdr:sp>
      <xdr:nvSpPr>
        <xdr:cNvPr id="56" name="Line 43"/>
        <xdr:cNvSpPr>
          <a:spLocks/>
        </xdr:cNvSpPr>
      </xdr:nvSpPr>
      <xdr:spPr>
        <a:xfrm flipH="1">
          <a:off x="5829300" y="6210300"/>
          <a:ext cx="171450" cy="180975"/>
        </a:xfrm>
        <a:prstGeom prst="line">
          <a:avLst/>
        </a:prstGeom>
        <a:noFill/>
        <a:ln w="190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0.794</cdr:x>
      <cdr:y>0.20025</cdr:y>
    </cdr:from>
    <cdr:to>
      <cdr:x>0.794</cdr:x>
      <cdr:y>0.785</cdr:y>
    </cdr:to>
    <cdr:sp>
      <cdr:nvSpPr>
        <cdr:cNvPr id="1" name="Line 1"/>
        <cdr:cNvSpPr>
          <a:spLocks/>
        </cdr:cNvSpPr>
      </cdr:nvSpPr>
      <cdr:spPr>
        <a:xfrm flipV="1">
          <a:off x="6086475" y="1447800"/>
          <a:ext cx="0" cy="4238625"/>
        </a:xfrm>
        <a:prstGeom prst="line">
          <a:avLst/>
        </a:prstGeom>
        <a:noFill/>
        <a:ln w="9360" cmpd="sng">
          <a:solidFill>
            <a:srgbClr val="80808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0.55525</cdr:x>
      <cdr:y>0.20025</cdr:y>
    </cdr:from>
    <cdr:to>
      <cdr:x>0.794</cdr:x>
      <cdr:y>0.20025</cdr:y>
    </cdr:to>
    <cdr:sp>
      <cdr:nvSpPr>
        <cdr:cNvPr id="2" name="Line 2"/>
        <cdr:cNvSpPr>
          <a:spLocks/>
        </cdr:cNvSpPr>
      </cdr:nvSpPr>
      <cdr:spPr>
        <a:xfrm flipH="1">
          <a:off x="4248150" y="1447800"/>
          <a:ext cx="1828800" cy="0"/>
        </a:xfrm>
        <a:prstGeom prst="line">
          <a:avLst/>
        </a:prstGeom>
        <a:noFill/>
        <a:ln w="9360" cmpd="sng">
          <a:solidFill>
            <a:srgbClr val="80808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0.291</cdr:x>
      <cdr:y>0.20025</cdr:y>
    </cdr:from>
    <cdr:to>
      <cdr:x>0.555</cdr:x>
      <cdr:y>0.579</cdr:y>
    </cdr:to>
    <cdr:sp>
      <cdr:nvSpPr>
        <cdr:cNvPr id="3" name="Line 3"/>
        <cdr:cNvSpPr>
          <a:spLocks/>
        </cdr:cNvSpPr>
      </cdr:nvSpPr>
      <cdr:spPr>
        <a:xfrm flipH="1">
          <a:off x="2228850" y="1447800"/>
          <a:ext cx="2028825" cy="2743200"/>
        </a:xfrm>
        <a:prstGeom prst="line">
          <a:avLst/>
        </a:prstGeom>
        <a:noFill/>
        <a:ln w="9360" cmpd="sng">
          <a:solidFill>
            <a:srgbClr val="80808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0.29175</cdr:x>
      <cdr:y>0.57975</cdr:y>
    </cdr:from>
    <cdr:to>
      <cdr:x>0.29175</cdr:x>
      <cdr:y>0.783</cdr:y>
    </cdr:to>
    <cdr:sp>
      <cdr:nvSpPr>
        <cdr:cNvPr id="4" name="Line 4"/>
        <cdr:cNvSpPr>
          <a:spLocks/>
        </cdr:cNvSpPr>
      </cdr:nvSpPr>
      <cdr:spPr>
        <a:xfrm>
          <a:off x="2228850" y="4200525"/>
          <a:ext cx="0" cy="1476375"/>
        </a:xfrm>
        <a:prstGeom prst="line">
          <a:avLst/>
        </a:prstGeom>
        <a:noFill/>
        <a:ln w="9360" cmpd="sng">
          <a:solidFill>
            <a:srgbClr val="80808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0.28375</cdr:x>
      <cdr:y>0.79125</cdr:y>
    </cdr:from>
    <cdr:to>
      <cdr:x>0.29775</cdr:x>
      <cdr:y>0.7955</cdr:y>
    </cdr:to>
    <cdr:sp>
      <cdr:nvSpPr>
        <cdr:cNvPr id="5" name="Line 5"/>
        <cdr:cNvSpPr>
          <a:spLocks/>
        </cdr:cNvSpPr>
      </cdr:nvSpPr>
      <cdr:spPr>
        <a:xfrm>
          <a:off x="2171700" y="5734050"/>
          <a:ext cx="104775" cy="28575"/>
        </a:xfrm>
        <a:prstGeom prst="line">
          <a:avLst/>
        </a:prstGeom>
        <a:noFill/>
        <a:ln w="9360" cmpd="sng">
          <a:solidFill>
            <a:srgbClr val="80808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333375</xdr:colOff>
      <xdr:row>3</xdr:row>
      <xdr:rowOff>476250</xdr:rowOff>
    </xdr:from>
    <xdr:to>
      <xdr:col>18</xdr:col>
      <xdr:colOff>114300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8829675" y="2619375"/>
        <a:ext cx="7667625" cy="724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0.794</cdr:x>
      <cdr:y>0.20025</cdr:y>
    </cdr:from>
    <cdr:to>
      <cdr:x>0.794</cdr:x>
      <cdr:y>0.785</cdr:y>
    </cdr:to>
    <cdr:sp>
      <cdr:nvSpPr>
        <cdr:cNvPr id="1" name="Line 1"/>
        <cdr:cNvSpPr>
          <a:spLocks/>
        </cdr:cNvSpPr>
      </cdr:nvSpPr>
      <cdr:spPr>
        <a:xfrm flipV="1">
          <a:off x="6086475" y="1447800"/>
          <a:ext cx="0" cy="4238625"/>
        </a:xfrm>
        <a:prstGeom prst="line">
          <a:avLst/>
        </a:prstGeom>
        <a:noFill/>
        <a:ln w="9360" cmpd="sng">
          <a:solidFill>
            <a:srgbClr val="80808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0.55525</cdr:x>
      <cdr:y>0.20025</cdr:y>
    </cdr:from>
    <cdr:to>
      <cdr:x>0.794</cdr:x>
      <cdr:y>0.20025</cdr:y>
    </cdr:to>
    <cdr:sp>
      <cdr:nvSpPr>
        <cdr:cNvPr id="2" name="Line 2"/>
        <cdr:cNvSpPr>
          <a:spLocks/>
        </cdr:cNvSpPr>
      </cdr:nvSpPr>
      <cdr:spPr>
        <a:xfrm flipH="1">
          <a:off x="4248150" y="1447800"/>
          <a:ext cx="1828800" cy="0"/>
        </a:xfrm>
        <a:prstGeom prst="line">
          <a:avLst/>
        </a:prstGeom>
        <a:noFill/>
        <a:ln w="9360" cmpd="sng">
          <a:solidFill>
            <a:srgbClr val="80808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0.291</cdr:x>
      <cdr:y>0.20025</cdr:y>
    </cdr:from>
    <cdr:to>
      <cdr:x>0.555</cdr:x>
      <cdr:y>0.579</cdr:y>
    </cdr:to>
    <cdr:sp>
      <cdr:nvSpPr>
        <cdr:cNvPr id="3" name="Line 3"/>
        <cdr:cNvSpPr>
          <a:spLocks/>
        </cdr:cNvSpPr>
      </cdr:nvSpPr>
      <cdr:spPr>
        <a:xfrm flipH="1">
          <a:off x="2228850" y="1447800"/>
          <a:ext cx="2028825" cy="2743200"/>
        </a:xfrm>
        <a:prstGeom prst="line">
          <a:avLst/>
        </a:prstGeom>
        <a:noFill/>
        <a:ln w="9360" cmpd="sng">
          <a:solidFill>
            <a:srgbClr val="80808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0.29175</cdr:x>
      <cdr:y>0.57975</cdr:y>
    </cdr:from>
    <cdr:to>
      <cdr:x>0.29175</cdr:x>
      <cdr:y>0.783</cdr:y>
    </cdr:to>
    <cdr:sp>
      <cdr:nvSpPr>
        <cdr:cNvPr id="4" name="Line 4"/>
        <cdr:cNvSpPr>
          <a:spLocks/>
        </cdr:cNvSpPr>
      </cdr:nvSpPr>
      <cdr:spPr>
        <a:xfrm>
          <a:off x="2228850" y="4200525"/>
          <a:ext cx="0" cy="1476375"/>
        </a:xfrm>
        <a:prstGeom prst="line">
          <a:avLst/>
        </a:prstGeom>
        <a:noFill/>
        <a:ln w="9360" cmpd="sng">
          <a:solidFill>
            <a:srgbClr val="80808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0.28375</cdr:x>
      <cdr:y>0.79125</cdr:y>
    </cdr:from>
    <cdr:to>
      <cdr:x>0.29775</cdr:x>
      <cdr:y>0.7955</cdr:y>
    </cdr:to>
    <cdr:sp>
      <cdr:nvSpPr>
        <cdr:cNvPr id="5" name="Line 5"/>
        <cdr:cNvSpPr>
          <a:spLocks/>
        </cdr:cNvSpPr>
      </cdr:nvSpPr>
      <cdr:spPr>
        <a:xfrm>
          <a:off x="2171700" y="5734050"/>
          <a:ext cx="104775" cy="28575"/>
        </a:xfrm>
        <a:prstGeom prst="line">
          <a:avLst/>
        </a:prstGeom>
        <a:noFill/>
        <a:ln w="9360" cmpd="sng">
          <a:solidFill>
            <a:srgbClr val="80808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333375</xdr:colOff>
      <xdr:row>3</xdr:row>
      <xdr:rowOff>476250</xdr:rowOff>
    </xdr:from>
    <xdr:to>
      <xdr:col>18</xdr:col>
      <xdr:colOff>114300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8829675" y="2619375"/>
        <a:ext cx="7667625" cy="724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45" zoomScaleNormal="45" workbookViewId="0" topLeftCell="A1">
      <selection activeCell="A37" sqref="A37"/>
    </sheetView>
  </sheetViews>
  <sheetFormatPr defaultColWidth="11.421875" defaultRowHeight="12.75"/>
  <cols>
    <col min="1" max="1" width="140.421875" style="0" customWidth="1"/>
  </cols>
  <sheetData/>
  <sheetProtection sheet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  <oleObjects>
    <oleObject progId="Document Microsoft Office Word" shapeId="55966394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DA55"/>
  <sheetViews>
    <sheetView zoomScale="45" zoomScaleNormal="45" workbookViewId="0" topLeftCell="A1">
      <selection activeCell="J1" sqref="J1"/>
    </sheetView>
  </sheetViews>
  <sheetFormatPr defaultColWidth="11.421875" defaultRowHeight="12.75"/>
  <cols>
    <col min="1" max="1" width="11.421875" style="1" customWidth="1"/>
    <col min="2" max="2" width="5.8515625" style="1" customWidth="1"/>
    <col min="3" max="3" width="5.7109375" style="1" customWidth="1"/>
    <col min="4" max="4" width="6.7109375" style="1" customWidth="1"/>
    <col min="5" max="7" width="7.7109375" style="1" customWidth="1"/>
    <col min="8" max="8" width="7.57421875" style="1" customWidth="1"/>
    <col min="9" max="9" width="7.57421875" style="2" customWidth="1"/>
    <col min="10" max="10" width="7.7109375" style="2" customWidth="1"/>
    <col min="11" max="12" width="1.7109375" style="1" customWidth="1"/>
    <col min="13" max="13" width="11.421875" style="1" customWidth="1"/>
    <col min="14" max="14" width="5.8515625" style="1" customWidth="1"/>
    <col min="15" max="15" width="5.7109375" style="1" customWidth="1"/>
    <col min="16" max="16" width="6.7109375" style="1" customWidth="1"/>
    <col min="17" max="19" width="7.7109375" style="1" customWidth="1"/>
    <col min="20" max="21" width="7.57421875" style="1" customWidth="1"/>
    <col min="22" max="22" width="7.7109375" style="1" customWidth="1"/>
    <col min="23" max="23" width="1.7109375" style="1" customWidth="1"/>
    <col min="24" max="27" width="11.421875" style="1" customWidth="1"/>
    <col min="28" max="30" width="8.00390625" style="1" customWidth="1"/>
    <col min="31" max="31" width="7.28125" style="1" customWidth="1"/>
    <col min="32" max="34" width="11.421875" style="1" customWidth="1"/>
    <col min="35" max="35" width="11.421875" style="3" customWidth="1"/>
    <col min="36" max="36" width="12.00390625" style="3" customWidth="1"/>
    <col min="37" max="40" width="11.421875" style="3" customWidth="1"/>
    <col min="41" max="41" width="12.00390625" style="1" customWidth="1"/>
    <col min="42" max="44" width="11.421875" style="1" customWidth="1"/>
    <col min="45" max="45" width="7.421875" style="1" customWidth="1"/>
    <col min="46" max="46" width="4.7109375" style="1" customWidth="1"/>
    <col min="47" max="47" width="5.57421875" style="1" customWidth="1"/>
    <col min="48" max="48" width="3.57421875" style="1" customWidth="1"/>
    <col min="49" max="49" width="4.7109375" style="1" customWidth="1"/>
    <col min="50" max="50" width="5.57421875" style="1" customWidth="1"/>
    <col min="51" max="51" width="3.57421875" style="1" customWidth="1"/>
    <col min="52" max="16384" width="11.421875" style="1" customWidth="1"/>
  </cols>
  <sheetData>
    <row r="1" spans="1:75" ht="15.75" customHeight="1">
      <c r="A1" s="4" t="s">
        <v>0</v>
      </c>
      <c r="B1" s="5"/>
      <c r="C1" s="6"/>
      <c r="D1" s="7" t="s">
        <v>1</v>
      </c>
      <c r="E1" s="7"/>
      <c r="F1" s="8"/>
      <c r="G1" s="9" t="s">
        <v>2</v>
      </c>
      <c r="H1" s="10" t="s">
        <v>3</v>
      </c>
      <c r="I1" s="10"/>
      <c r="J1" s="11"/>
      <c r="K1" s="12"/>
      <c r="L1" s="13"/>
      <c r="M1" s="4" t="s">
        <v>0</v>
      </c>
      <c r="N1" s="5"/>
      <c r="O1" s="6"/>
      <c r="P1" s="7" t="s">
        <v>1</v>
      </c>
      <c r="Q1" s="7"/>
      <c r="R1" s="8"/>
      <c r="S1" s="9" t="s">
        <v>2</v>
      </c>
      <c r="T1" s="10" t="s">
        <v>3</v>
      </c>
      <c r="U1" s="10"/>
      <c r="V1" s="11"/>
      <c r="W1" s="14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6"/>
      <c r="AJ1" s="16"/>
      <c r="AK1" s="16"/>
      <c r="AL1" s="16"/>
      <c r="AM1" s="16"/>
      <c r="AN1" s="16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</row>
    <row r="2" spans="1:105" ht="15.75" customHeight="1">
      <c r="A2" s="18" t="s">
        <v>4</v>
      </c>
      <c r="B2" s="19"/>
      <c r="C2" s="20"/>
      <c r="D2" s="21" t="s">
        <v>5</v>
      </c>
      <c r="E2" s="21"/>
      <c r="F2" s="22">
        <f>IF(F1=0,"",'CARB(V)'!J16)</f>
      </c>
      <c r="G2" s="23"/>
      <c r="H2" s="21" t="s">
        <v>6</v>
      </c>
      <c r="I2" s="21"/>
      <c r="J2" s="24" t="str">
        <f>IF(J1=0," ",ROUNDUP(LOOKUP(J1,AI4:AI29,AJ4:AJ29),0))</f>
        <v> </v>
      </c>
      <c r="K2" s="12"/>
      <c r="L2" s="13"/>
      <c r="M2" s="18" t="s">
        <v>4</v>
      </c>
      <c r="N2" s="19"/>
      <c r="O2" s="20"/>
      <c r="P2" s="21" t="s">
        <v>5</v>
      </c>
      <c r="Q2" s="21"/>
      <c r="R2" s="22">
        <f>IF(R1=0,"",'CARB(V)'!J38)</f>
      </c>
      <c r="S2" s="23"/>
      <c r="T2" s="21" t="s">
        <v>6</v>
      </c>
      <c r="U2" s="21"/>
      <c r="V2" s="24" t="str">
        <f>IF(V1=0," ",ROUNDUP(LOOKUP(V1,AI4:AI29,AJ4:AJ29),0))</f>
        <v> </v>
      </c>
      <c r="W2" s="14"/>
      <c r="X2" s="15"/>
      <c r="Y2" s="15"/>
      <c r="Z2" s="15"/>
      <c r="AA2" s="15"/>
      <c r="AB2" s="25" t="e">
        <f>LOOKUP(J1,AI4:AI29,AK4:AK29)+LOOKUP((J1-'CARB(V)'!H8),AI4:AI29,AP4:AP29)</f>
        <v>#N/A</v>
      </c>
      <c r="AC2" s="15" t="s">
        <v>7</v>
      </c>
      <c r="AD2" s="25" t="e">
        <f>LOOKUP(V1,AI4:AI29,AK4:AK29)+LOOKUP((V1-'CARB(V)'!H30),AI4:AI29,AP4:AP29)</f>
        <v>#N/A</v>
      </c>
      <c r="AE2" s="15" t="s">
        <v>7</v>
      </c>
      <c r="AF2" s="15"/>
      <c r="AG2" s="15"/>
      <c r="AH2" s="15"/>
      <c r="AI2" s="16" t="s">
        <v>8</v>
      </c>
      <c r="AJ2" s="16"/>
      <c r="AK2" s="16"/>
      <c r="AL2" s="16"/>
      <c r="AM2" s="16" t="s">
        <v>9</v>
      </c>
      <c r="AN2" s="16"/>
      <c r="AO2" s="16" t="s">
        <v>10</v>
      </c>
      <c r="AP2" s="16"/>
      <c r="AQ2" s="16"/>
      <c r="AR2" s="15"/>
      <c r="AS2" s="15"/>
      <c r="AT2" s="16" t="s">
        <v>11</v>
      </c>
      <c r="AU2" s="16"/>
      <c r="AV2" s="16"/>
      <c r="AW2" s="16" t="s">
        <v>12</v>
      </c>
      <c r="AX2" s="16"/>
      <c r="AY2" s="16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</row>
    <row r="3" spans="1:105" ht="15.75" customHeight="1">
      <c r="A3" s="18" t="s">
        <v>13</v>
      </c>
      <c r="B3" s="27"/>
      <c r="C3" s="28"/>
      <c r="D3" s="29" t="s">
        <v>14</v>
      </c>
      <c r="E3" s="29"/>
      <c r="F3" s="22">
        <f>IF(F1=0,"",F1-F2)</f>
      </c>
      <c r="G3" s="23"/>
      <c r="H3" s="30" t="s">
        <v>15</v>
      </c>
      <c r="I3" s="30"/>
      <c r="J3" s="31" t="str">
        <f>IF(J1=0," ",ROUNDUP(LOOKUP(J1,AI4:AI29,AK4:AK29),0))</f>
        <v> </v>
      </c>
      <c r="K3" s="12"/>
      <c r="L3" s="13"/>
      <c r="M3" s="18" t="s">
        <v>13</v>
      </c>
      <c r="N3" s="32"/>
      <c r="O3" s="33"/>
      <c r="P3" s="29" t="s">
        <v>14</v>
      </c>
      <c r="Q3" s="29"/>
      <c r="R3" s="22">
        <f>IF(R1=0,"",R1-R2)</f>
      </c>
      <c r="S3" s="23"/>
      <c r="T3" s="30" t="s">
        <v>15</v>
      </c>
      <c r="U3" s="30"/>
      <c r="V3" s="31" t="str">
        <f>IF(V1=0," ",ROUNDUP(LOOKUP(V1,AI4:AI29,AK4:AK29),0))</f>
        <v> </v>
      </c>
      <c r="W3" s="14"/>
      <c r="X3" s="15"/>
      <c r="Y3" s="15"/>
      <c r="Z3" s="15"/>
      <c r="AA3" s="15"/>
      <c r="AB3" s="25" t="e">
        <f>LOOKUP(J1,AI4:AI29,AJ4:AJ29)+LOOKUP((J1-'CARB(V)'!H8),AI4:AI29,AO4:AO29)</f>
        <v>#N/A</v>
      </c>
      <c r="AC3" s="15" t="s">
        <v>16</v>
      </c>
      <c r="AD3" s="25" t="e">
        <f>LOOKUP(V1,AI4:AI29,AJ4:AJ29)+LOOKUP((V1-'CARB(V)'!H30),AI4:AI29,AO4:AO29)</f>
        <v>#N/A</v>
      </c>
      <c r="AE3" s="15" t="s">
        <v>16</v>
      </c>
      <c r="AF3" s="15"/>
      <c r="AG3" s="15"/>
      <c r="AH3" s="15"/>
      <c r="AI3" s="16" t="s">
        <v>17</v>
      </c>
      <c r="AJ3" s="16" t="s">
        <v>18</v>
      </c>
      <c r="AK3" s="16" t="s">
        <v>19</v>
      </c>
      <c r="AL3" s="16" t="s">
        <v>20</v>
      </c>
      <c r="AM3" s="16" t="s">
        <v>20</v>
      </c>
      <c r="AN3" s="16" t="s">
        <v>21</v>
      </c>
      <c r="AO3" s="16" t="s">
        <v>18</v>
      </c>
      <c r="AP3" s="16" t="s">
        <v>19</v>
      </c>
      <c r="AQ3" s="16" t="s">
        <v>20</v>
      </c>
      <c r="AR3" s="15"/>
      <c r="AS3" s="15" t="s">
        <v>22</v>
      </c>
      <c r="AT3" s="15"/>
      <c r="AU3" s="15">
        <f>LOOKUP(J1,AI4:AI29,AL4:AL29)</f>
        <v>0</v>
      </c>
      <c r="AV3" s="15" t="s">
        <v>23</v>
      </c>
      <c r="AW3" s="15"/>
      <c r="AX3" s="15">
        <f>LOOKUP(V1,AI4:AI29,AL4:AL29)</f>
        <v>0</v>
      </c>
      <c r="AY3" s="15" t="s">
        <v>23</v>
      </c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</row>
    <row r="4" spans="1:105" ht="15.75" customHeight="1">
      <c r="A4" s="18" t="s">
        <v>24</v>
      </c>
      <c r="B4" s="34">
        <f>IF(F1=0,"",(ROUNDDOWN(AB3+(F1-AB4)/LOOKUP(J1,AI4:AI29,AM4:AM29),0))/24/60)</f>
      </c>
      <c r="C4" s="34"/>
      <c r="D4" s="21" t="s">
        <v>25</v>
      </c>
      <c r="E4" s="21"/>
      <c r="F4" s="35">
        <f>IF(F1=0,"",IF('CARB(V)'!M8=0,"",'CARB(V)'!O16))</f>
      </c>
      <c r="G4" s="23"/>
      <c r="H4" s="21" t="s">
        <v>26</v>
      </c>
      <c r="I4" s="21"/>
      <c r="J4" s="24" t="str">
        <f>IF(J1=0," ",ROUNDUP(LOOKUP((J1-'CARB(V)'!H8),AI4:AI29,AO4:AO29),0))</f>
        <v> </v>
      </c>
      <c r="K4" s="12"/>
      <c r="L4" s="13"/>
      <c r="M4" s="18" t="s">
        <v>24</v>
      </c>
      <c r="N4" s="36">
        <f>IF(R1=0,"",ROUNDDOWN(AD3+(R1-AD4)/LOOKUP(V1,AI4:AI29,AM4:AM29),0)/24/60)</f>
      </c>
      <c r="O4" s="36"/>
      <c r="P4" s="21" t="s">
        <v>25</v>
      </c>
      <c r="Q4" s="21"/>
      <c r="R4" s="35">
        <f>IF(R1=0,"",IF('CARB(V)'!M30=0,"",'CARB(V)'!O38))</f>
      </c>
      <c r="S4" s="23"/>
      <c r="T4" s="21" t="s">
        <v>26</v>
      </c>
      <c r="U4" s="21"/>
      <c r="V4" s="24" t="str">
        <f>IF(V1=0," ",ROUNDUP(LOOKUP((V1-'CARB(V)'!H30),AI4:AI29,AO4:AO29),0))</f>
        <v> </v>
      </c>
      <c r="W4" s="14"/>
      <c r="X4" s="15"/>
      <c r="Y4" s="15"/>
      <c r="Z4" s="15"/>
      <c r="AA4" s="15"/>
      <c r="AB4" s="15" t="e">
        <f>LOOKUP(J1,AI4:AI29,AL4:AL29)+LOOKUP((J1-'CARB(V)'!H8),AI4:AI29,AQ4:AQ29)</f>
        <v>#N/A</v>
      </c>
      <c r="AC4" s="37" t="s">
        <v>23</v>
      </c>
      <c r="AD4" s="15" t="e">
        <f>LOOKUP(V1,AI4:AI29,AL4:AL29)+LOOKUP((V1-'CARB(V)'!H30),AI4:AI29,AQ4:AQ29)</f>
        <v>#N/A</v>
      </c>
      <c r="AE4" s="15" t="s">
        <v>23</v>
      </c>
      <c r="AF4" s="15"/>
      <c r="AG4" s="15"/>
      <c r="AH4" s="15"/>
      <c r="AI4" s="16">
        <v>0</v>
      </c>
      <c r="AJ4" s="16">
        <v>1E-09</v>
      </c>
      <c r="AK4" s="16">
        <f>ROUNDUP(AJ4*((107+(107+107*AI4/600))/2)/60,1)</f>
        <v>0.1</v>
      </c>
      <c r="AL4" s="16">
        <v>0</v>
      </c>
      <c r="AM4" s="16">
        <f>34.36/60</f>
        <v>0.5726666666666667</v>
      </c>
      <c r="AN4" s="16">
        <f>120/60</f>
        <v>2</v>
      </c>
      <c r="AO4" s="16">
        <v>1E-09</v>
      </c>
      <c r="AP4" s="16">
        <f>ROUNDDOWN(((135+(135+135*AI4/600))/2)*AO4/60,1)</f>
        <v>0</v>
      </c>
      <c r="AQ4" s="16">
        <f>ROUNDUP(AJ4*28.4/60,1)</f>
        <v>0.1</v>
      </c>
      <c r="AR4" s="15"/>
      <c r="AS4" s="15" t="s">
        <v>22</v>
      </c>
      <c r="AT4" s="15"/>
      <c r="AU4" s="15">
        <f>LOOKUP(J1,AI4:AI29,AQ4:AQ29)</f>
        <v>0.1</v>
      </c>
      <c r="AV4" s="15" t="s">
        <v>23</v>
      </c>
      <c r="AW4" s="15"/>
      <c r="AX4" s="15">
        <f>LOOKUP(V1,AI4:AI29,AQ4:AQ29)</f>
        <v>0.1</v>
      </c>
      <c r="AY4" s="15" t="s">
        <v>23</v>
      </c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</row>
    <row r="5" spans="1:105" ht="15.75" customHeight="1">
      <c r="A5" s="38" t="s">
        <v>27</v>
      </c>
      <c r="B5" s="39">
        <f>IF(F1=0,"",IF('CARB(V)'!M8=0,"",('CARB(V)'!T8+'CARB(V)'!M11+45)/24/60))</f>
      </c>
      <c r="C5" s="39"/>
      <c r="D5" s="21" t="s">
        <v>28</v>
      </c>
      <c r="E5" s="21"/>
      <c r="F5" s="39">
        <f>IF(F1=0,"",(ROUNDDOWN(F3/(40/60),0))/24/60)</f>
      </c>
      <c r="G5" s="23"/>
      <c r="H5" s="30" t="s">
        <v>29</v>
      </c>
      <c r="I5" s="30"/>
      <c r="J5" s="31" t="str">
        <f>IF(J1=0," ",ROUNDUP(LOOKUP((J1-'CARB(V)'!H8),AI4:AI29,AP4:AP29),0))</f>
        <v> </v>
      </c>
      <c r="K5" s="12"/>
      <c r="L5" s="13"/>
      <c r="M5" s="38" t="s">
        <v>27</v>
      </c>
      <c r="N5" s="39">
        <f>IF(R1=0,"",IF('CARB(V)'!M30=0,"",('CARB(V)'!T30+'CARB(V)'!M33+45)/24/60))</f>
      </c>
      <c r="O5" s="39"/>
      <c r="P5" s="21" t="s">
        <v>28</v>
      </c>
      <c r="Q5" s="21"/>
      <c r="R5" s="39">
        <f>IF(R1=0,"",(ROUNDDOWN(R3/(40/60),0))/24/60)</f>
      </c>
      <c r="S5" s="23"/>
      <c r="T5" s="30" t="s">
        <v>29</v>
      </c>
      <c r="U5" s="30"/>
      <c r="V5" s="31" t="str">
        <f>IF(V1=0," ",ROUNDUP(LOOKUP((V1-'CARB(V)'!H30),AI4:AI29,AP4:AP29),0))</f>
        <v> </v>
      </c>
      <c r="W5" s="14"/>
      <c r="X5" s="15"/>
      <c r="Y5" s="16" t="s">
        <v>30</v>
      </c>
      <c r="Z5" s="16"/>
      <c r="AA5" s="16"/>
      <c r="AB5" s="16"/>
      <c r="AC5" s="16"/>
      <c r="AD5" s="16" t="s">
        <v>31</v>
      </c>
      <c r="AE5" s="16"/>
      <c r="AF5" s="16"/>
      <c r="AG5" s="16"/>
      <c r="AH5" s="16"/>
      <c r="AI5" s="16">
        <v>5</v>
      </c>
      <c r="AJ5" s="16">
        <v>0.625</v>
      </c>
      <c r="AK5" s="16">
        <v>1.2</v>
      </c>
      <c r="AL5" s="16">
        <v>0.6</v>
      </c>
      <c r="AM5" s="16">
        <f>34.36/60</f>
        <v>0.5726666666666667</v>
      </c>
      <c r="AN5" s="16">
        <f>120/60</f>
        <v>2</v>
      </c>
      <c r="AO5" s="16">
        <v>1</v>
      </c>
      <c r="AP5" s="16">
        <f>ROUNDDOWN(((135+(135+135*AI5/600))/2)*AO5/60,1)</f>
        <v>2.2</v>
      </c>
      <c r="AQ5" s="16">
        <f>ROUNDUP(AJ5*28.4/60,1)</f>
        <v>0.3</v>
      </c>
      <c r="AR5" s="15"/>
      <c r="AS5" s="15" t="s">
        <v>22</v>
      </c>
      <c r="AT5" s="15" t="s">
        <v>32</v>
      </c>
      <c r="AU5" s="15"/>
      <c r="AV5" s="15" t="s">
        <v>23</v>
      </c>
      <c r="AW5" s="15" t="s">
        <v>32</v>
      </c>
      <c r="AX5" s="15"/>
      <c r="AY5" s="15" t="s">
        <v>23</v>
      </c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</row>
    <row r="6" spans="1:105" ht="15.75" customHeight="1">
      <c r="A6" s="40" t="s">
        <v>33</v>
      </c>
      <c r="B6" s="41">
        <f>IF(F1=0,"",IF(B5="","",B4-B5))</f>
      </c>
      <c r="C6" s="41"/>
      <c r="D6" s="42" t="s">
        <v>34</v>
      </c>
      <c r="E6" s="42"/>
      <c r="F6" s="43"/>
      <c r="G6" s="44"/>
      <c r="H6" s="45"/>
      <c r="I6" s="45"/>
      <c r="J6" s="46"/>
      <c r="K6" s="12"/>
      <c r="L6" s="13"/>
      <c r="M6" s="40" t="s">
        <v>33</v>
      </c>
      <c r="N6" s="41">
        <f>IF(R1=0,"",IF(N5="","",N4-N5))</f>
      </c>
      <c r="O6" s="41"/>
      <c r="P6" s="42" t="s">
        <v>34</v>
      </c>
      <c r="Q6" s="42"/>
      <c r="R6" s="43"/>
      <c r="S6" s="44"/>
      <c r="T6" s="45"/>
      <c r="U6" s="45"/>
      <c r="V6" s="46"/>
      <c r="W6" s="14"/>
      <c r="X6" s="15"/>
      <c r="Y6" s="16" t="s">
        <v>35</v>
      </c>
      <c r="Z6" s="16" t="s">
        <v>18</v>
      </c>
      <c r="AA6" s="16" t="s">
        <v>20</v>
      </c>
      <c r="AB6" s="16" t="s">
        <v>36</v>
      </c>
      <c r="AC6" s="16" t="s">
        <v>36</v>
      </c>
      <c r="AD6" s="16" t="s">
        <v>36</v>
      </c>
      <c r="AE6" s="16" t="s">
        <v>36</v>
      </c>
      <c r="AF6" s="16" t="s">
        <v>20</v>
      </c>
      <c r="AG6" s="16" t="s">
        <v>18</v>
      </c>
      <c r="AH6" s="16" t="s">
        <v>35</v>
      </c>
      <c r="AI6" s="16">
        <v>10</v>
      </c>
      <c r="AJ6" s="16">
        <v>1</v>
      </c>
      <c r="AK6" s="16">
        <v>2</v>
      </c>
      <c r="AL6" s="16">
        <v>1.1</v>
      </c>
      <c r="AM6" s="16">
        <f>34.36/60</f>
        <v>0.5726666666666667</v>
      </c>
      <c r="AN6" s="16">
        <f>121/60</f>
        <v>2.0166666666666666</v>
      </c>
      <c r="AO6" s="16">
        <v>2</v>
      </c>
      <c r="AP6" s="16">
        <f>ROUNDDOWN(((135+(135+135*AI6/600))/2)*AO6/60,1)</f>
        <v>4.5</v>
      </c>
      <c r="AQ6" s="16">
        <f>ROUNDUP(AJ6*28.4/60,1)</f>
        <v>0.5</v>
      </c>
      <c r="AR6" s="15"/>
      <c r="AS6" s="15" t="s">
        <v>22</v>
      </c>
      <c r="AT6" s="15" t="s">
        <v>37</v>
      </c>
      <c r="AU6" s="15" t="e">
        <f>ROUND(AB4+(LOOKUP(J1,AI4:AI29,AM4:AM29))*((C8-AB2)/LOOKUP(J1,AI4:AI29,AN4:AN29)),2)</f>
        <v>#N/A</v>
      </c>
      <c r="AV6" s="15" t="s">
        <v>23</v>
      </c>
      <c r="AW6" s="15" t="s">
        <v>37</v>
      </c>
      <c r="AX6" s="15" t="e">
        <f>ROUND(AD4+(LOOKUP(V1,AI4:AI29,AM4:AM29))*((O8-AD2)/LOOKUP(V1,AI4:AI29,AN4:AN29)),2)</f>
        <v>#N/A</v>
      </c>
      <c r="AY6" s="15" t="s">
        <v>23</v>
      </c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</row>
    <row r="7" spans="1:105" ht="12.75">
      <c r="A7" s="47" t="s">
        <v>38</v>
      </c>
      <c r="B7" s="48" t="s">
        <v>39</v>
      </c>
      <c r="C7" s="49" t="s">
        <v>36</v>
      </c>
      <c r="D7" s="49" t="s">
        <v>18</v>
      </c>
      <c r="E7" s="50" t="s">
        <v>40</v>
      </c>
      <c r="F7" s="50"/>
      <c r="G7" s="51"/>
      <c r="H7" s="2"/>
      <c r="K7" s="12"/>
      <c r="L7" s="52"/>
      <c r="M7" s="47" t="s">
        <v>38</v>
      </c>
      <c r="N7" s="48" t="s">
        <v>39</v>
      </c>
      <c r="O7" s="49" t="s">
        <v>36</v>
      </c>
      <c r="P7" s="49" t="s">
        <v>18</v>
      </c>
      <c r="Q7" s="50" t="s">
        <v>40</v>
      </c>
      <c r="R7" s="50"/>
      <c r="S7" s="51"/>
      <c r="T7" s="2"/>
      <c r="U7" s="2"/>
      <c r="V7" s="2"/>
      <c r="W7" s="14"/>
      <c r="X7" s="15"/>
      <c r="Y7" s="16" t="s">
        <v>41</v>
      </c>
      <c r="Z7" s="53" t="s">
        <v>42</v>
      </c>
      <c r="AA7" s="53" t="s">
        <v>43</v>
      </c>
      <c r="AB7" s="53" t="s">
        <v>43</v>
      </c>
      <c r="AC7" s="53" t="s">
        <v>44</v>
      </c>
      <c r="AD7" s="53" t="s">
        <v>43</v>
      </c>
      <c r="AE7" s="53" t="s">
        <v>44</v>
      </c>
      <c r="AF7" s="16" t="s">
        <v>43</v>
      </c>
      <c r="AG7" s="16" t="s">
        <v>42</v>
      </c>
      <c r="AH7" s="16" t="s">
        <v>41</v>
      </c>
      <c r="AI7" s="16">
        <v>15</v>
      </c>
      <c r="AJ7" s="16">
        <v>1.875</v>
      </c>
      <c r="AK7" s="16">
        <v>2.5</v>
      </c>
      <c r="AL7" s="16">
        <v>1.7</v>
      </c>
      <c r="AM7" s="16">
        <f>34.36/60</f>
        <v>0.5726666666666667</v>
      </c>
      <c r="AN7" s="16">
        <f>122/60</f>
        <v>2.033333333333333</v>
      </c>
      <c r="AO7" s="16">
        <v>3</v>
      </c>
      <c r="AP7" s="16">
        <f>ROUNDDOWN(((135+(135+135*AI7/600))/2)*AO7/60,1)</f>
        <v>6.8</v>
      </c>
      <c r="AQ7" s="16">
        <f>ROUNDUP(AJ7*28.4/60,1)</f>
        <v>0.9</v>
      </c>
      <c r="AR7" s="15"/>
      <c r="AS7" s="15" t="s">
        <v>45</v>
      </c>
      <c r="AT7" s="15" t="s">
        <v>37</v>
      </c>
      <c r="AU7" s="15" t="e">
        <f>ROUNDUP(SUM(Z10:Z30),2)</f>
        <v>#N/A</v>
      </c>
      <c r="AV7" s="15" t="s">
        <v>16</v>
      </c>
      <c r="AW7" s="15" t="s">
        <v>37</v>
      </c>
      <c r="AX7" s="15" t="e">
        <f>ROUNDUP(SUM(AG10:AG30),2)</f>
        <v>#N/A</v>
      </c>
      <c r="AY7" s="15" t="s">
        <v>16</v>
      </c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</row>
    <row r="8" spans="1:105" ht="26.25" customHeight="1">
      <c r="A8" s="54" t="s">
        <v>46</v>
      </c>
      <c r="B8" s="48"/>
      <c r="C8" s="55">
        <f>IF(C10=0,"",SUM(C10:C30))</f>
      </c>
      <c r="D8" s="56">
        <f>IF(C10=0,"",IF('CARB(V)'!J8=0,(ROUNDUP((AU7+5),0))/24/60,(ROUNDUP((AU7+'CARB(V)'!J8),0)/24/60)))</f>
      </c>
      <c r="E8" s="57" t="s">
        <v>47</v>
      </c>
      <c r="F8" s="58" t="s">
        <v>48</v>
      </c>
      <c r="G8" s="59">
        <f>IF(J1=0,"",IF(AB2&gt;C8,"FL TROP ELEVE",""))</f>
      </c>
      <c r="H8" s="59"/>
      <c r="I8" s="59"/>
      <c r="J8" s="59"/>
      <c r="K8" s="12"/>
      <c r="L8" s="52"/>
      <c r="M8" s="54" t="s">
        <v>46</v>
      </c>
      <c r="N8" s="48"/>
      <c r="O8" s="55">
        <f>IF(O10=0,"",SUM(O10:O30))</f>
      </c>
      <c r="P8" s="56">
        <f>IF(O10=0,"",IF('CARB(V)'!J30=0,(ROUNDUP((AX7+5),0))/24/60,(ROUNDUP((AX7+'CARB(V)'!J30),0)/24/60)))</f>
      </c>
      <c r="Q8" s="57" t="s">
        <v>47</v>
      </c>
      <c r="R8" s="58" t="s">
        <v>48</v>
      </c>
      <c r="S8" s="59">
        <f>IF(V1=0,"",IF(AD2&gt;O8,"FL TROP ELEVE",""))</f>
      </c>
      <c r="T8" s="59"/>
      <c r="U8" s="59"/>
      <c r="V8" s="59"/>
      <c r="W8" s="14"/>
      <c r="X8" s="15"/>
      <c r="Y8" s="15"/>
      <c r="Z8" s="15"/>
      <c r="AA8" s="15"/>
      <c r="AB8" s="16">
        <v>0</v>
      </c>
      <c r="AC8" s="60">
        <f>C8</f>
      </c>
      <c r="AD8" s="60">
        <f>D8</f>
      </c>
      <c r="AE8" s="60">
        <f>O8</f>
      </c>
      <c r="AF8" s="15"/>
      <c r="AG8" s="15"/>
      <c r="AH8" s="15"/>
      <c r="AI8" s="16">
        <v>20</v>
      </c>
      <c r="AJ8" s="16">
        <v>3</v>
      </c>
      <c r="AK8" s="16">
        <v>3</v>
      </c>
      <c r="AL8" s="16">
        <v>2.3</v>
      </c>
      <c r="AM8" s="16">
        <f>34.36/60</f>
        <v>0.5726666666666667</v>
      </c>
      <c r="AN8" s="16">
        <f>122/60</f>
        <v>2.033333333333333</v>
      </c>
      <c r="AO8" s="16">
        <f>AI8*100/500</f>
        <v>4</v>
      </c>
      <c r="AP8" s="16">
        <f>ROUNDDOWN(((135+(135+135*AI8/600))/2)*AO8/60,1)</f>
        <v>9.1</v>
      </c>
      <c r="AQ8" s="16">
        <f>ROUNDUP(AJ8*28.4/60,1)</f>
        <v>1.5</v>
      </c>
      <c r="AR8" s="15"/>
      <c r="AS8" s="15" t="s">
        <v>49</v>
      </c>
      <c r="AT8" s="15" t="s">
        <v>50</v>
      </c>
      <c r="AU8" s="15" t="e">
        <f>ROUND(C8/AU7*60,2)</f>
        <v>#N/A</v>
      </c>
      <c r="AV8" s="15" t="s">
        <v>51</v>
      </c>
      <c r="AW8" s="15" t="s">
        <v>50</v>
      </c>
      <c r="AX8" s="15" t="e">
        <f>ROUND(O8/AX7*60,2)</f>
        <v>#N/A</v>
      </c>
      <c r="AY8" s="15" t="s">
        <v>51</v>
      </c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</row>
    <row r="9" spans="1:105" ht="26.25" customHeight="1">
      <c r="A9" s="61"/>
      <c r="B9" s="48"/>
      <c r="C9" s="62" t="s">
        <v>52</v>
      </c>
      <c r="D9" s="62" t="s">
        <v>52</v>
      </c>
      <c r="E9" s="63"/>
      <c r="F9" s="63"/>
      <c r="G9" s="64" t="s">
        <v>53</v>
      </c>
      <c r="H9" s="64"/>
      <c r="I9" s="64"/>
      <c r="J9" s="64"/>
      <c r="K9" s="12"/>
      <c r="L9" s="52"/>
      <c r="M9" s="61"/>
      <c r="N9" s="48"/>
      <c r="O9" s="62" t="s">
        <v>52</v>
      </c>
      <c r="P9" s="62" t="s">
        <v>52</v>
      </c>
      <c r="Q9" s="63"/>
      <c r="R9" s="63"/>
      <c r="S9" s="64" t="s">
        <v>53</v>
      </c>
      <c r="T9" s="64"/>
      <c r="U9" s="64"/>
      <c r="V9" s="64"/>
      <c r="W9" s="14"/>
      <c r="X9" s="15"/>
      <c r="Y9" s="15"/>
      <c r="Z9" s="15"/>
      <c r="AA9" s="15"/>
      <c r="AB9" s="15"/>
      <c r="AC9" s="16"/>
      <c r="AD9" s="16"/>
      <c r="AE9" s="16"/>
      <c r="AF9" s="15"/>
      <c r="AG9" s="15"/>
      <c r="AH9" s="15"/>
      <c r="AI9" s="16">
        <v>25</v>
      </c>
      <c r="AJ9" s="16">
        <v>3.5</v>
      </c>
      <c r="AK9" s="16">
        <v>4</v>
      </c>
      <c r="AL9" s="16">
        <v>2.9</v>
      </c>
      <c r="AM9" s="16">
        <f>34.36/60</f>
        <v>0.5726666666666667</v>
      </c>
      <c r="AN9" s="16">
        <f>123/60</f>
        <v>2.05</v>
      </c>
      <c r="AO9" s="16">
        <f>AI9*100/500</f>
        <v>5</v>
      </c>
      <c r="AP9" s="16">
        <f>ROUNDDOWN(((135+(135+135*AI9/600))/2)*AO9/60,1)</f>
        <v>11.4</v>
      </c>
      <c r="AQ9" s="16">
        <f>ROUNDUP(AJ9*28.4/60,1)</f>
        <v>1.7</v>
      </c>
      <c r="AR9" s="15"/>
      <c r="AS9" s="15" t="s">
        <v>54</v>
      </c>
      <c r="AT9" s="15" t="s">
        <v>55</v>
      </c>
      <c r="AU9" s="15">
        <v>4</v>
      </c>
      <c r="AV9" s="15" t="s">
        <v>23</v>
      </c>
      <c r="AW9" s="15"/>
      <c r="AX9" s="15">
        <v>4</v>
      </c>
      <c r="AY9" s="15" t="s">
        <v>23</v>
      </c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</row>
    <row r="10" spans="1:105" ht="19.5" customHeight="1">
      <c r="A10" s="65"/>
      <c r="B10" s="66"/>
      <c r="C10" s="67"/>
      <c r="D10" s="68">
        <f>IF(C10=0,"",ROUND(Z10,0))</f>
      </c>
      <c r="E10" s="63"/>
      <c r="F10" s="63"/>
      <c r="G10" s="69" t="s">
        <v>56</v>
      </c>
      <c r="H10" s="2"/>
      <c r="K10" s="12"/>
      <c r="L10" s="52"/>
      <c r="M10" s="70"/>
      <c r="N10" s="66"/>
      <c r="O10" s="67"/>
      <c r="P10" s="68">
        <f>IF(O10=0,"",ROUND(AG10,0))</f>
      </c>
      <c r="Q10" s="63"/>
      <c r="R10" s="63"/>
      <c r="S10" s="69" t="s">
        <v>56</v>
      </c>
      <c r="T10" s="2"/>
      <c r="U10" s="71"/>
      <c r="V10" s="2"/>
      <c r="W10" s="14"/>
      <c r="X10" s="15"/>
      <c r="Y10" s="16"/>
      <c r="Z10" s="72">
        <f>IF($C$10=0,0,IF($AB$10=$C$8,$AB$3+($C$8-$AB$2)/LOOKUP($J$1,$AI$4:$AI$29,$AN$4:$AN$29),IF($C$10&lt;=$J$3,LOOKUP($C$10,$AK$4:$AK$29,$AJ$4:$AJ$29),IF($C$10&lt;=$C$8-$J$5,$J$2+($AB$10-$J$3)/LOOKUP($J$1,$AI$4:$AI$29,$AN$4:$AN$29),$J$2+(($C$8-$AB$2)/LOOKUP($J$1,$AI$4:$AI$29,$AN$4:$AN$29))+$J$4-LOOKUP($AC$10,$AP$4:$AP$29,$AO$4:$AO$29)))))</f>
        <v>0</v>
      </c>
      <c r="AA10" s="16"/>
      <c r="AB10" s="16">
        <f>C10</f>
        <v>0</v>
      </c>
      <c r="AC10" s="60">
        <f>AC8-C10</f>
        <v>0</v>
      </c>
      <c r="AD10" s="16">
        <f>O10</f>
        <v>0</v>
      </c>
      <c r="AE10" s="16">
        <f>AE8-O10</f>
        <v>0</v>
      </c>
      <c r="AF10" s="16"/>
      <c r="AG10" s="72">
        <f>IF($O$10=0,0,IF($AD$10=$O$8,$AD$3+($O$8-$AD$2)/LOOKUP($V$1,$AI$4:$AI$29,$AN$4:$AN$29),IF($O$10&lt;=$V$3,LOOKUP($O$10,$AK$4:$AK$29,$AJ$4:$AJ$29),IF($O$10&lt;=$O$8-$V$5,$V$2+($AD$10-$V$3)/LOOKUP($V$1,$AI$4:$AI$29,$AN$4:$AN$29),$V$2+(($O$8-$AD$2)/LOOKUP($V$1,$AI$4:$AI$29,$AN$4:$AN$29))+$V$4-LOOKUP($AE$10,$AP$4:$AP$29,$AO$4:$AO$29)))))</f>
        <v>0</v>
      </c>
      <c r="AH10" s="15"/>
      <c r="AI10" s="16">
        <v>30</v>
      </c>
      <c r="AJ10" s="16">
        <v>4</v>
      </c>
      <c r="AK10" s="16">
        <v>5</v>
      </c>
      <c r="AL10" s="16">
        <v>3.4</v>
      </c>
      <c r="AM10" s="16">
        <f>34.36/60</f>
        <v>0.5726666666666667</v>
      </c>
      <c r="AN10" s="16">
        <f>123/60</f>
        <v>2.05</v>
      </c>
      <c r="AO10" s="16">
        <f>AI10*100/500</f>
        <v>6</v>
      </c>
      <c r="AP10" s="16">
        <f>ROUNDDOWN(((135+(135+135*AI10/600))/2)*AO10/60,1)</f>
        <v>13.8</v>
      </c>
      <c r="AQ10" s="16">
        <f>ROUNDUP(AJ10*28.4/60,1)</f>
        <v>1.9</v>
      </c>
      <c r="AR10" s="15"/>
      <c r="AS10" s="15" t="s">
        <v>57</v>
      </c>
      <c r="AT10" s="15" t="s">
        <v>58</v>
      </c>
      <c r="AU10" s="15">
        <v>5</v>
      </c>
      <c r="AV10" s="15" t="s">
        <v>16</v>
      </c>
      <c r="AW10" s="15" t="s">
        <v>58</v>
      </c>
      <c r="AX10" s="15">
        <v>5</v>
      </c>
      <c r="AY10" s="15" t="s">
        <v>16</v>
      </c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</row>
    <row r="11" spans="1:105" ht="19.5" customHeight="1">
      <c r="A11" s="73"/>
      <c r="B11" s="66"/>
      <c r="C11" s="67"/>
      <c r="D11" s="74"/>
      <c r="E11" s="75"/>
      <c r="F11" s="63"/>
      <c r="G11" s="76">
        <f>IF($C$10=0,"",ROUND($AA$11,0))</f>
      </c>
      <c r="H11" s="2"/>
      <c r="K11" s="12"/>
      <c r="L11" s="52"/>
      <c r="M11" s="73"/>
      <c r="N11" s="66"/>
      <c r="O11" s="67"/>
      <c r="P11" s="74"/>
      <c r="Q11" s="75"/>
      <c r="R11" s="63"/>
      <c r="S11" s="76">
        <f>IF($O$10=0,"",ROUND(AF11,0))</f>
      </c>
      <c r="T11" s="2"/>
      <c r="U11" s="2"/>
      <c r="V11" s="2"/>
      <c r="W11" s="14"/>
      <c r="X11" s="15"/>
      <c r="Y11" s="16"/>
      <c r="Z11" s="72"/>
      <c r="AA11" s="16" t="e">
        <f>IF(AB10=C8,AB4+(LOOKUP(J1,AI4:AI29,AM4:AM29))*(C8-AB2)/LOOKUP(J1,AI4:AI29,AN4:AN29),IF(AB10&lt;=J3,LOOKUP(AB10,AK4:AK29,AL4:AL29),IF(AB10&lt;=C8-J5,AU3+(LOOKUP(J1,AI4:AI29,AM4:AM29))*(AB10-J3)/LOOKUP(J1,AI4:AI29,AN4:AN29),AB4+(LOOKUP(J1,AI4:AI29,AM4:AM29))*((C8-AB2)/LOOKUP(J1,AI4:AI29,AN4:AN29))-LOOKUP(AC10,AP4:AP29,AQ4:AQ29))))</f>
        <v>#N/A</v>
      </c>
      <c r="AB11" s="16"/>
      <c r="AC11" s="60"/>
      <c r="AD11" s="16"/>
      <c r="AE11" s="16"/>
      <c r="AF11" s="16" t="e">
        <f>IF(AD10=O8,AD4+(LOOKUP(V1,AI4:AI29,AM4:AM29))*(O8-AD2)/LOOKUP(V1,AI4:AI29,AN4:AN29),IF(AD10&lt;=V3,LOOKUP(AD10,AK4:AK29,AL4:AL29),IF(AD10&lt;=O8-V5,AX3+(LOOKUP(V1,AI4:AI29,AM4:AM29))*(AD10-V3)/LOOKUP(V1,AI4:AI29,AN4:AN29),AD4+(LOOKUP(V1,AI4:AI29,AM4:AM29))*((O8-AD2)/LOOKUP(V1,AI4:AI29,AN4:AN29))-LOOKUP(AE10,AP4:AP29,AQ4:AQ29))))</f>
        <v>#N/A</v>
      </c>
      <c r="AG11" s="16"/>
      <c r="AH11" s="15"/>
      <c r="AI11" s="16">
        <v>35</v>
      </c>
      <c r="AJ11" s="16">
        <v>5</v>
      </c>
      <c r="AK11" s="16">
        <v>6.5</v>
      </c>
      <c r="AL11" s="16">
        <v>4</v>
      </c>
      <c r="AM11" s="16">
        <f>34.36/60</f>
        <v>0.5726666666666667</v>
      </c>
      <c r="AN11" s="16">
        <f>124/60</f>
        <v>2.066666666666667</v>
      </c>
      <c r="AO11" s="16">
        <f>AI11*100/500</f>
        <v>7</v>
      </c>
      <c r="AP11" s="16">
        <f>ROUNDDOWN(((135+(135+135*AI11/600))/2)*AO11/60,1)</f>
        <v>16.2</v>
      </c>
      <c r="AQ11" s="16">
        <f>ROUNDUP(AJ11*28.4/60,1)</f>
        <v>2.4</v>
      </c>
      <c r="AR11" s="15"/>
      <c r="AS11" s="15" t="s">
        <v>57</v>
      </c>
      <c r="AT11" s="15" t="s">
        <v>58</v>
      </c>
      <c r="AU11" s="15">
        <v>2</v>
      </c>
      <c r="AV11" s="15" t="s">
        <v>23</v>
      </c>
      <c r="AW11" s="15" t="s">
        <v>58</v>
      </c>
      <c r="AX11" s="15">
        <v>2</v>
      </c>
      <c r="AY11" s="15" t="s">
        <v>23</v>
      </c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</row>
    <row r="12" spans="1:105" ht="19.5" customHeight="1">
      <c r="A12" s="77"/>
      <c r="B12" s="66"/>
      <c r="C12" s="67"/>
      <c r="D12" s="68">
        <f>IF($C$10=0,"",IF($Z$12=0,IF($Z$10=0,"",IF('CARB(V)'!$J$8=0,$AU$10,'CARB(V)'!$J$8)),ROUND($Z$12,0)))</f>
      </c>
      <c r="E12" s="78"/>
      <c r="F12" s="63"/>
      <c r="G12" s="79"/>
      <c r="H12" s="2"/>
      <c r="K12" s="12"/>
      <c r="L12" s="52"/>
      <c r="M12" s="80"/>
      <c r="N12" s="66"/>
      <c r="O12" s="67"/>
      <c r="P12" s="68">
        <f>IF($O$10=0,"",IF(AG12=0,IF(AG10=0,"",IF('CARB(V)'!$J$30=0,$AX$10,'CARB(V)'!$J$30)),ROUND(AG12,0)))</f>
      </c>
      <c r="Q12" s="78"/>
      <c r="R12" s="63"/>
      <c r="S12" s="79"/>
      <c r="T12" s="2"/>
      <c r="U12" s="2"/>
      <c r="V12" s="2"/>
      <c r="W12" s="14"/>
      <c r="X12" s="15"/>
      <c r="Y12" s="16">
        <f>Y10+Z10</f>
        <v>0</v>
      </c>
      <c r="Z12" s="72" t="e">
        <f>IF($AB$12=$C$8,$AB$3+($C$8-$AB$2)/LOOKUP($J$1,$AI$4:$AI$29,$AN$4:$AN$29)-$Y$12,IF($AB$12&lt;=$J$3,LOOKUP($AB$12,$AK$4:$AK$29,$AJ$4:$AJ$29)-$Y$12,IF($AB$12&lt;=$C$8-$J$5,$J$2+($AB$12-$J$3)/LOOKUP($J$1,$AI$4:$AI$29,$AN$4:$AN$29)-$Y$12,$J$2+(($C$8-$AB$2)/LOOKUP($J$1,$AI$4:$AI$29,$AN$4:$AN$29))+$J$4-LOOKUP($AC$12,$AP$4:$AP$29,$AO$4:$AO$29)-$Y$12)))</f>
        <v>#N/A</v>
      </c>
      <c r="AA12" s="16"/>
      <c r="AB12" s="16">
        <f>AB10+C12</f>
        <v>0</v>
      </c>
      <c r="AC12" s="60">
        <f>AC10-C12</f>
        <v>0</v>
      </c>
      <c r="AD12" s="16">
        <f>AD10+O12</f>
        <v>0</v>
      </c>
      <c r="AE12" s="16">
        <f>AE10-O12</f>
        <v>0</v>
      </c>
      <c r="AF12" s="16"/>
      <c r="AG12" s="72" t="e">
        <f>IF(AD12=$O$8,$AD$3+($O$8-$AD$2)/LOOKUP($V$1,$AI$4:$AI$29,$AN$4:$AN$29)-AH12,IF(AD12&lt;=$V$3,LOOKUP(AD12,$AK$4:$AK$29,$AJ$4:$AJ$29)-AH12,IF(AD12&lt;=$O$8-$V$5,$V$2+(AD12-$V$3)/LOOKUP($V$1,$AI$4:$AI$29,$AN$4:$AN$29)-AH12,$V$2+(($O$8-$AD$2)/LOOKUP($V$1,$AI$4:$AI$29,$AN$4:$AN$29))+$V$4-LOOKUP(AE12,$AP$4:$AP$29,$AO$4:$AO$29)-AH12)))</f>
        <v>#N/A</v>
      </c>
      <c r="AH12" s="16">
        <f>AH10+AG10</f>
        <v>0</v>
      </c>
      <c r="AI12" s="16">
        <v>40</v>
      </c>
      <c r="AJ12" s="16">
        <v>6</v>
      </c>
      <c r="AK12" s="16">
        <v>8</v>
      </c>
      <c r="AL12" s="16">
        <v>4.5</v>
      </c>
      <c r="AM12" s="16">
        <f>32.67/60</f>
        <v>0.5445</v>
      </c>
      <c r="AN12" s="16">
        <f>124/60</f>
        <v>2.066666666666667</v>
      </c>
      <c r="AO12" s="16">
        <f>AI12*100/500</f>
        <v>8</v>
      </c>
      <c r="AP12" s="16">
        <f>ROUNDDOWN(((135+(135+135*AI12/600))/2)*AO12/60,1)</f>
        <v>18.6</v>
      </c>
      <c r="AQ12" s="16">
        <f>ROUNDUP(AJ12*27/60,1)</f>
        <v>2.7</v>
      </c>
      <c r="AR12" s="15"/>
      <c r="AS12" s="15" t="s">
        <v>54</v>
      </c>
      <c r="AT12" s="15" t="s">
        <v>59</v>
      </c>
      <c r="AU12" s="15">
        <v>1</v>
      </c>
      <c r="AV12" s="15" t="s">
        <v>23</v>
      </c>
      <c r="AW12" s="15" t="s">
        <v>59</v>
      </c>
      <c r="AX12" s="15">
        <v>1</v>
      </c>
      <c r="AY12" s="15" t="s">
        <v>23</v>
      </c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</row>
    <row r="13" spans="1:105" ht="19.5" customHeight="1">
      <c r="A13" s="73"/>
      <c r="B13" s="66"/>
      <c r="C13" s="67"/>
      <c r="D13" s="74"/>
      <c r="E13" s="75"/>
      <c r="F13" s="63"/>
      <c r="G13" s="76">
        <f>IF($D$12="","",IF($Z$12&lt;&gt;0,ROUNDUP($AA$13,0),IF('CARB(V)'!$J$8=0,ROUNDUP(($AA$13+$AU$11+$AU$12),0),ROUND($AA$13+$AU$12+(45/60)*'CARB(V)'!$J$8,0))))</f>
      </c>
      <c r="H13" s="2"/>
      <c r="K13" s="12"/>
      <c r="L13" s="52"/>
      <c r="M13" s="73"/>
      <c r="N13" s="66"/>
      <c r="O13" s="67"/>
      <c r="P13" s="74"/>
      <c r="Q13" s="75"/>
      <c r="R13" s="63"/>
      <c r="S13" s="76">
        <f>IF(P12="","",IF(AG12&lt;&gt;0,ROUNDUP(AF13,0),IF('CARB(V)'!$J$30=0,ROUNDUP((AF13+$AX$11+$AX$12),0),ROUND(AF13+$AX$12+(45/60)*'CARB(V)'!$J$30,0))))</f>
      </c>
      <c r="T13" s="2"/>
      <c r="U13" s="2"/>
      <c r="V13" s="2"/>
      <c r="W13" s="14"/>
      <c r="X13" s="15"/>
      <c r="Y13" s="16"/>
      <c r="Z13" s="72"/>
      <c r="AA13" s="16" t="e">
        <f>IF(AB12=C8,AB4+(LOOKUP(J1,AI4:AI29,AM4:AM29))*(C8-AB2)/LOOKUP(J1,AI4:AI29,AN4:AN29),IF(AB12&lt;=J3,LOOKUP(AB12,AK4:AK29,AL4:AL29),IF(AB12&lt;=C8-J5,AU3+(LOOKUP(J1,AI4:AI29,AM4:AM29))*(AB12-J3)/LOOKUP(J1,AI4:AI29,AN4:AN29),AB4+(LOOKUP(J1,AI4:AI29,AM4:AM29))*((C8-AB2)/LOOKUP(J1,AI4:AI29,AN4:AN29))-LOOKUP(AC12,AP4:AP29,AQ4:AQ29))))</f>
        <v>#N/A</v>
      </c>
      <c r="AB13" s="16"/>
      <c r="AC13" s="60"/>
      <c r="AD13" s="16"/>
      <c r="AE13" s="16"/>
      <c r="AF13" s="16" t="e">
        <f>IF(AD12=$O$8,$AD$4+(LOOKUP($V$1,$AI$4:$AI$29,$AM$4:$AM$29))*($O$8-$AD$2)/LOOKUP($V$1,AI$4:$AI$29,$AN$4:$AN$29),IF(AD12&lt;=$V$3,LOOKUP(AD12,$AK$4:$AK$29,AL$4:$AL$29),IF(AD12&lt;=$O$8-$V$5,$AX3+(LOOKUP($V$1,$AI$4:$AI29,$AM4:$AM$29))*(AD12-$V$3)/LOOKUP($V$1,$AI$4:$AI$29,$AN$4:$AN$29),$AD$4+(LOOKUP($V$1,$AI$4:$AI$29,$AM$4:$AM$29))*(($O$8-$AD$2)/LOOKUP($V$1,$AI$4:$AI$29,$AN$4:$AN$29))-LOOKUP(AE12,$AP$4:$AP$29,$AQ$4:$AQ$29))))</f>
        <v>#N/A</v>
      </c>
      <c r="AG13" s="72"/>
      <c r="AH13" s="16"/>
      <c r="AI13" s="16">
        <v>45</v>
      </c>
      <c r="AJ13" s="16">
        <v>7</v>
      </c>
      <c r="AK13" s="16">
        <v>9</v>
      </c>
      <c r="AL13" s="16">
        <v>5.3</v>
      </c>
      <c r="AM13" s="16">
        <f>33.76/60</f>
        <v>0.5626666666666666</v>
      </c>
      <c r="AN13" s="16">
        <f>124/60</f>
        <v>2.066666666666667</v>
      </c>
      <c r="AO13" s="16">
        <f>AI13*100/500</f>
        <v>9</v>
      </c>
      <c r="AP13" s="16">
        <f>ROUNDDOWN(((135+(135+135*AI13/600))/2)*AO13/60,1)</f>
        <v>21</v>
      </c>
      <c r="AQ13" s="16">
        <f>ROUNDUP(AJ13*27.6/60,1)</f>
        <v>3.3</v>
      </c>
      <c r="AR13" s="15"/>
      <c r="AS13" s="15"/>
      <c r="AT13" s="15"/>
      <c r="AU13" s="15"/>
      <c r="AV13" s="15"/>
      <c r="AW13" s="15"/>
      <c r="AX13" s="15"/>
      <c r="AY13" s="15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</row>
    <row r="14" spans="1:105" ht="19.5" customHeight="1">
      <c r="A14" s="77">
        <f>IF($C$10=0,"",IF($C$12=0,IF($D$12="","","Atterrissage"),""))</f>
      </c>
      <c r="B14" s="66"/>
      <c r="C14" s="67"/>
      <c r="D14" s="68">
        <f>IF(C10=0,"",IF(Z14=0,IF(Z12=0,"",IF('CARB(V)'!J8=0,AU10,'CARB(V)'!J8)),ROUND(Z14,0)))</f>
      </c>
      <c r="E14" s="78"/>
      <c r="F14" s="63"/>
      <c r="G14" s="79"/>
      <c r="H14" s="2"/>
      <c r="K14" s="12"/>
      <c r="L14" s="52"/>
      <c r="M14" s="77">
        <f>IF($O$10=0,"",IF(O12=0,IF(O12="","","Atterrissage"),""))</f>
      </c>
      <c r="N14" s="66"/>
      <c r="O14" s="67"/>
      <c r="P14" s="68">
        <f>IF($O$10=0,"",IF(AG14=0,IF(AG12=0,"",IF('CARB(V)'!$J$30=0,$AX$10,'CARB(V)'!$J$30)),ROUND(AG14,0)))</f>
      </c>
      <c r="Q14" s="78"/>
      <c r="R14" s="63"/>
      <c r="S14" s="79"/>
      <c r="T14" s="2"/>
      <c r="U14" s="2"/>
      <c r="V14" s="2"/>
      <c r="W14" s="14"/>
      <c r="X14" s="15"/>
      <c r="Y14" s="16" t="e">
        <f>Y12+Z12</f>
        <v>#N/A</v>
      </c>
      <c r="Z14" s="72" t="e">
        <f>IF(AB14=C8,AB3+(C8-AB2)/LOOKUP(J1,AI4:AI29,AN4:AN29)-Y14,IF(AB14&lt;=J3,LOOKUP(AB14,AK4:AK29,AJ4:AJ29)-Y14,IF(AB14&lt;=C8-J5,J2+(AB14-J3)/LOOKUP(J1,AI4:AI29,AN4:AN29)-Y14,J2+((C8-AB2)/LOOKUP(J1,AI4:AI29,AN4:AN29))+J4-LOOKUP(AC14,AP4:AP29,AO4:AO29)-Y14)))</f>
        <v>#N/A</v>
      </c>
      <c r="AA14" s="16"/>
      <c r="AB14" s="16">
        <f>AB12+C14</f>
        <v>0</v>
      </c>
      <c r="AC14" s="60">
        <f>AC12-C14</f>
        <v>0</v>
      </c>
      <c r="AD14" s="16">
        <f>AD12+O14</f>
        <v>0</v>
      </c>
      <c r="AE14" s="16">
        <f>AE12-O14</f>
        <v>0</v>
      </c>
      <c r="AF14" s="16"/>
      <c r="AG14" s="72" t="e">
        <f>IF(AD14=$O$8,$AD$3+($O$8-$AD$2)/LOOKUP($V$1,$AI$4:$AI$29,$AN$4:$AN$29)-AH14,IF(AD14&lt;=$V$3,LOOKUP(AD14,$AK$4:$AK$29,$AJ$4:$AJ$29)-AH14,IF(AD14&lt;=$O$8-$V$5,$V$2+(AD14-$V$3)/LOOKUP($V$1,$AI$4:$AI$29,$AN$4:$AN$29)-AH14,$V$2+(($O$8-$AD$2)/LOOKUP($V$1,$AI$4:$AI$29,$AN$4:$AN$29))+$V$4-LOOKUP(AE14,$AP$4:$AP$29,$AO$4:$AO$29)-AH14)))</f>
        <v>#N/A</v>
      </c>
      <c r="AH14" s="16" t="e">
        <f>AH12+AG12</f>
        <v>#N/A</v>
      </c>
      <c r="AI14" s="16">
        <v>50</v>
      </c>
      <c r="AJ14" s="16">
        <v>8</v>
      </c>
      <c r="AK14" s="16">
        <v>10</v>
      </c>
      <c r="AL14" s="16">
        <v>6.1</v>
      </c>
      <c r="AM14" s="16">
        <f>33.14/60</f>
        <v>0.5523333333333333</v>
      </c>
      <c r="AN14" s="16">
        <f>124/60</f>
        <v>2.066666666666667</v>
      </c>
      <c r="AO14" s="16">
        <f>AI14*100/500</f>
        <v>10</v>
      </c>
      <c r="AP14" s="16">
        <f>ROUNDDOWN(((135+(135+135*AI14/600))/2)*AO14/60,1)</f>
        <v>23.4</v>
      </c>
      <c r="AQ14" s="16">
        <f>ROUNDUP(AJ14*27.4/60,1)</f>
        <v>3.7</v>
      </c>
      <c r="AR14" s="15"/>
      <c r="AS14" s="15"/>
      <c r="AT14" s="15"/>
      <c r="AU14" s="15"/>
      <c r="AV14" s="15"/>
      <c r="AW14" s="15"/>
      <c r="AX14" s="15"/>
      <c r="AY14" s="81"/>
      <c r="AZ14" s="81"/>
      <c r="BA14" s="81"/>
      <c r="BB14" s="81"/>
      <c r="BC14" s="81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</row>
    <row r="15" spans="1:105" ht="19.5" customHeight="1">
      <c r="A15" s="73"/>
      <c r="B15" s="66"/>
      <c r="C15" s="67"/>
      <c r="D15" s="74"/>
      <c r="E15" s="75"/>
      <c r="F15" s="63"/>
      <c r="G15" s="76">
        <f>IF(D14="","",IF(Z14&lt;&gt;0,ROUNDUP(AA15,0),IF('CARB(V)'!J8=0,ROUNDUP((AA15+AU11+AU12),0),ROUND(AA15+AU12+(45/60)*'CARB(V)'!J8,0))))</f>
      </c>
      <c r="H15" s="2"/>
      <c r="K15" s="12"/>
      <c r="L15" s="52"/>
      <c r="M15" s="73"/>
      <c r="N15" s="66"/>
      <c r="O15" s="67"/>
      <c r="P15" s="74"/>
      <c r="Q15" s="75"/>
      <c r="R15" s="63"/>
      <c r="S15" s="76">
        <f>IF(P14="","",IF(AG14&lt;&gt;0,ROUNDUP(AF15,0),IF('CARB(V)'!$J$30=0,ROUNDUP((AF15+$AX$11+$AX$12),0),ROUND(AF15+$AX$12+(45/60)*'CARB(V)'!$J$30,0))))</f>
      </c>
      <c r="T15" s="2"/>
      <c r="U15" s="2"/>
      <c r="V15" s="2"/>
      <c r="W15" s="14"/>
      <c r="X15" s="15"/>
      <c r="Y15" s="16"/>
      <c r="Z15" s="72"/>
      <c r="AA15" s="16" t="e">
        <f>IF(AB14=C8,AB4+(LOOKUP(J1,AI4:AI29,AM4:AM29))*(C8-AB2)/LOOKUP(J1,AI4:AI29,AN4:AN29),IF(AB14&lt;=J3,LOOKUP(AB14,AK4:AK29,AL4:AL29),IF(AB14&lt;=C8-J5,AU3+(LOOKUP(J1,AI4:AI29,AM4:AM29))*(AB14-J3)/LOOKUP(J1,AI4:AI29,AN4:AN29),AB4+(LOOKUP(J1,AI4:AI29,AM4:AM29))*((C8-AB2)/LOOKUP(J1,AI4:AI29,AN4:AN29))-LOOKUP(AC14,AP4:AP29,AQ4:AQ29))))</f>
        <v>#N/A</v>
      </c>
      <c r="AB15" s="16"/>
      <c r="AC15" s="60"/>
      <c r="AD15" s="16"/>
      <c r="AE15" s="16"/>
      <c r="AF15" s="16" t="e">
        <f>IF(AD14=$O$8,$AD$4+(LOOKUP($V$1,$AI$4:$AI$29,$AM$4:$AM$29))*($O$8-$AD$2)/LOOKUP($V$1,$AI$4:$AI$29,$AN$4:$AN$29),IF(AD14&lt;=$V$3,LOOKUP(AD14,$AK$4:$AK$29,$AL$4:$AL$29),IF(AD14&lt;=$O$8-$V$5,$AX$3+(LOOKUP($V$1,$AI$4:$AI$29,$AM$4:$AM$29))*(AD14-$V$3)/LOOKUP($V$1,$AI$4:$AI$29,$AN$4:$AN$29),$AD$4+(LOOKUP($V$1,$AI$4:$AI$29,$AM$4:$AM$29))*(($O$8-$AD$2)/LOOKUP($V$1,$AI$4:$AI$29,$AN$4:$AN$29))-LOOKUP(AE14,$AP$4:$AP$29,$AQ$4:$AQ$29))))</f>
        <v>#N/A</v>
      </c>
      <c r="AG15" s="72"/>
      <c r="AH15" s="16"/>
      <c r="AI15" s="16">
        <v>55</v>
      </c>
      <c r="AJ15" s="16">
        <v>9</v>
      </c>
      <c r="AK15" s="16">
        <v>11</v>
      </c>
      <c r="AL15" s="16">
        <v>6.7</v>
      </c>
      <c r="AM15" s="16">
        <f>33.88/60</f>
        <v>0.5646666666666668</v>
      </c>
      <c r="AN15" s="16">
        <f>124/60</f>
        <v>2.066666666666667</v>
      </c>
      <c r="AO15" s="16">
        <f>AI15*100/500</f>
        <v>11</v>
      </c>
      <c r="AP15" s="16">
        <f>ROUNDDOWN(((135+(135+135*AI15/600))/2)*AO15/60,1)</f>
        <v>25.8</v>
      </c>
      <c r="AQ15" s="16">
        <f>ROUNDUP(AJ15*28/60,1)</f>
        <v>4.2</v>
      </c>
      <c r="AR15" s="15"/>
      <c r="AS15" s="15"/>
      <c r="AT15" s="15"/>
      <c r="AU15" s="15"/>
      <c r="AV15" s="15"/>
      <c r="AW15" s="15"/>
      <c r="AX15" s="15"/>
      <c r="AY15" s="81"/>
      <c r="AZ15" s="82"/>
      <c r="BA15" s="82"/>
      <c r="BB15" s="82"/>
      <c r="BC15" s="81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</row>
    <row r="16" spans="1:105" ht="19.5" customHeight="1">
      <c r="A16" s="77">
        <f>IF(C10=0,"",IF(C14=0,IF(D14="","","Atterrissage"),""))</f>
      </c>
      <c r="B16" s="66"/>
      <c r="C16" s="67"/>
      <c r="D16" s="68">
        <f>IF(C10=0,"",IF(Z16=0,IF(Z14=0,"",IF('CARB(V)'!J8=0,AU10,'CARB(V)'!J8)),ROUND(Z16,0)))</f>
      </c>
      <c r="E16" s="78"/>
      <c r="F16" s="63"/>
      <c r="G16" s="79"/>
      <c r="H16" s="2"/>
      <c r="K16" s="12"/>
      <c r="L16" s="52"/>
      <c r="M16" s="77">
        <f>IF(O10=0,"",IF(O14=0,IF(P14="","","Atterrissage"),""))</f>
      </c>
      <c r="N16" s="66"/>
      <c r="O16" s="67"/>
      <c r="P16" s="68">
        <f>IF($O$10=0,"",IF(AG16=0,IF(AG14=0,"",IF('CARB(V)'!$J$30=0,$AX$10,'CARB(V)'!$J$30)),ROUND(AG16,0)))</f>
      </c>
      <c r="Q16" s="78"/>
      <c r="R16" s="63"/>
      <c r="S16" s="79"/>
      <c r="T16" s="2"/>
      <c r="U16" s="2"/>
      <c r="V16" s="2"/>
      <c r="W16" s="14"/>
      <c r="X16" s="15"/>
      <c r="Y16" s="16" t="e">
        <f>Y14+Z14</f>
        <v>#N/A</v>
      </c>
      <c r="Z16" s="72" t="e">
        <f>IF(AB16=C8,AB3+(C8-AB2)/LOOKUP(J1,AI4:AI29,AN4:AN29)-Y16,IF(AB16&lt;=J3,LOOKUP(AB16,AK4:AK29,AJ4:AJ29)-Y16,IF(AB16&lt;=C8-J5,J2+(AB16-J3)/LOOKUP(J1,AI4:AI29,AN4:AN29)-Y16,J2+((C8-AB2)/LOOKUP(J1,AI4:AI29,AN4:AN29))+J4-LOOKUP(AC16,AP4:AP29,AO4:AO29)-Y16)))</f>
        <v>#N/A</v>
      </c>
      <c r="AA16" s="16"/>
      <c r="AB16" s="16">
        <f>AB14+C16</f>
        <v>0</v>
      </c>
      <c r="AC16" s="60">
        <f>AC14-C16</f>
        <v>0</v>
      </c>
      <c r="AD16" s="16">
        <f>AD14+O16</f>
        <v>0</v>
      </c>
      <c r="AE16" s="16">
        <f>AE14-O16</f>
        <v>0</v>
      </c>
      <c r="AF16" s="16"/>
      <c r="AG16" s="72" t="e">
        <f>IF(AD16=$O$8,$AD$3+($O$8-$AD$2)/LOOKUP($V$1,$AI$4:$AI$29,$AN$4:$AN$29)-AH16,IF(AD16&lt;=$V$3,LOOKUP(AD16,$AK$4:$AK$29,$AJ$4:$AJ$29)-AH16,IF(AD16&lt;=$O$8-$V$5,$V$2+(AD16-$V$3)/LOOKUP($V$1,$AI$4:$AI$29,$AN$4:$AN$29)-AH16,$V$2+(($O$8-$AD$2)/LOOKUP($V$1,$AI$4:$AI$29,$AN$4:$AN$29))+$V$4-LOOKUP(AE16,$AP$4:$AP$29,$AO$4:$AO$29)-AH16)))</f>
        <v>#N/A</v>
      </c>
      <c r="AH16" s="16" t="e">
        <f>AH14+AG14</f>
        <v>#N/A</v>
      </c>
      <c r="AI16" s="16">
        <v>60</v>
      </c>
      <c r="AJ16" s="16">
        <v>10</v>
      </c>
      <c r="AK16" s="16">
        <v>12</v>
      </c>
      <c r="AL16" s="16">
        <v>7.2</v>
      </c>
      <c r="AM16" s="16">
        <f>34.85/60</f>
        <v>0.5808333333333333</v>
      </c>
      <c r="AN16" s="16">
        <f>124/60</f>
        <v>2.066666666666667</v>
      </c>
      <c r="AO16" s="16">
        <f>AI16*100/500</f>
        <v>12</v>
      </c>
      <c r="AP16" s="16">
        <f>ROUNDDOWN(((135+(135+135*AI16/600))/2)*AO16/60,1)</f>
        <v>28.3</v>
      </c>
      <c r="AQ16" s="16">
        <f>ROUNDUP(AJ16*28.8/60,1)</f>
        <v>4.8</v>
      </c>
      <c r="AR16" s="15"/>
      <c r="AS16" s="15"/>
      <c r="AT16" s="15"/>
      <c r="AU16" s="15"/>
      <c r="AV16" s="15"/>
      <c r="AW16" s="15"/>
      <c r="AX16" s="15"/>
      <c r="AY16" s="81"/>
      <c r="AZ16" s="81"/>
      <c r="BA16" s="81"/>
      <c r="BB16" s="81"/>
      <c r="BC16" s="81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</row>
    <row r="17" spans="1:105" ht="19.5" customHeight="1">
      <c r="A17" s="73"/>
      <c r="B17" s="66"/>
      <c r="C17" s="67"/>
      <c r="D17" s="74"/>
      <c r="E17" s="83"/>
      <c r="F17" s="63"/>
      <c r="G17" s="76">
        <f>IF(D16="","",IF(Z16&lt;&gt;0,ROUNDUP(AA17,0),IF('CARB(V)'!J8=0,ROUNDUP((AA17+AU11+AU12),0),ROUND(AA17+AU12+(45/60)*'CARB(V)'!J8,0))))</f>
      </c>
      <c r="H17" s="2"/>
      <c r="K17" s="12"/>
      <c r="L17" s="52"/>
      <c r="M17" s="73"/>
      <c r="N17" s="66"/>
      <c r="O17" s="67"/>
      <c r="P17" s="74"/>
      <c r="Q17" s="83"/>
      <c r="R17" s="63"/>
      <c r="S17" s="76">
        <f>IF(P16="","",IF(AG16&lt;&gt;0,ROUNDUP(AF17,0),IF('CARB(V)'!$J$30=0,ROUNDUP((AF17+$AX$11+$AX$12),0),ROUND(AF17+$AX$12+(45/60)*'CARB(V)'!$J$30,0))))</f>
      </c>
      <c r="T17" s="2"/>
      <c r="U17" s="2"/>
      <c r="V17" s="2"/>
      <c r="W17" s="14"/>
      <c r="X17" s="15"/>
      <c r="Y17" s="16"/>
      <c r="Z17" s="72"/>
      <c r="AA17" s="16" t="e">
        <f>IF(AB16=C8,AB4+(LOOKUP(J1,AI4:AI29,AM4:AM29))*(C8-AB2)/LOOKUP(J1,AI4:AI29,AN4:AN29),IF(AB16&lt;=J3,LOOKUP(AB16,AK4:AK29,AL4:AL29),IF(AB16&lt;=C8-J5,AU3+(LOOKUP(J1,AI4:AI29,AM4:AM29))*(AB16-J3)/LOOKUP(J1,AI4:AI29,AN4:AN29),AB4+(LOOKUP(J1,AI4:AI29,AM4:AM29))*((C8-AB2)/LOOKUP(J1,AI4:AI29,AN4:AN29))-LOOKUP(AC16,AP4:AP29,AQ4:AQ29))))</f>
        <v>#N/A</v>
      </c>
      <c r="AB17" s="16"/>
      <c r="AC17" s="60"/>
      <c r="AD17" s="16"/>
      <c r="AE17" s="16"/>
      <c r="AF17" s="16" t="e">
        <f>IF(AD16=$O$8,$AD$4+(LOOKUP($V$1,$AI$4:$AI$29,$AM$4:$AM$29))*($O$8-$AD$2)/LOOKUP($V$1,$AI$4:$AI$29,$AN$4:$AN$29),IF(AD16&lt;=$V$3,LOOKUP(AD16,$AK$4:$AK$29,$AL$4:$AL$29),IF(AD16&lt;=$O$8-$V$5,$AX$3+(LOOKUP($V$1,$AI$4:$AI$29,$AM$4:$AM$29))*(AD16-$V$3)/LOOKUP($V$1,$AI$4:$AI$29,$AN$4:$AN$29),$AD$4+(LOOKUP($V$1,$AI$4:$AI$29,$AM$4:$AM$29))*(($O$8-$AD$2)/LOOKUP($V$1,$AI$4:$AI$29,$AN$4:$AN$29))-LOOKUP(AE16,$AP$4:$AP$29,$AQ$4:$AQ$29))))</f>
        <v>#N/A</v>
      </c>
      <c r="AG17" s="72"/>
      <c r="AH17" s="16"/>
      <c r="AI17" s="16">
        <v>65</v>
      </c>
      <c r="AJ17" s="16">
        <v>11</v>
      </c>
      <c r="AK17" s="16">
        <v>13.5</v>
      </c>
      <c r="AL17" s="16">
        <v>8</v>
      </c>
      <c r="AM17" s="16">
        <f>34.48/60</f>
        <v>0.5746666666666667</v>
      </c>
      <c r="AN17" s="16">
        <f>124/60</f>
        <v>2.066666666666667</v>
      </c>
      <c r="AO17" s="16">
        <f>AI17*100/500</f>
        <v>13</v>
      </c>
      <c r="AP17" s="16">
        <f>ROUNDDOWN(((135+(135+135*AI17/600))/2)*AO17/60,1)</f>
        <v>30.8</v>
      </c>
      <c r="AQ17" s="16">
        <f>ROUNDUP(AJ17*28.5/60,1)</f>
        <v>5.3</v>
      </c>
      <c r="AR17" s="15"/>
      <c r="AS17" s="15"/>
      <c r="AT17" s="15"/>
      <c r="AU17" s="15"/>
      <c r="AV17" s="15"/>
      <c r="AW17" s="15"/>
      <c r="AX17" s="15"/>
      <c r="AY17" s="15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</row>
    <row r="18" spans="1:105" ht="19.5" customHeight="1">
      <c r="A18" s="77">
        <f>IF(C10=0,"",IF(C16=0,IF(D16="","","Atterrissage"),""))</f>
      </c>
      <c r="B18" s="66"/>
      <c r="C18" s="67"/>
      <c r="D18" s="68">
        <f>IF(C10=0,"",IF(Z18=0,IF(Z16=0,"",IF('CARB(V)'!J8=0,AU10,'CARB(V)'!J8)),ROUND(Z18,0)))</f>
      </c>
      <c r="E18" s="78"/>
      <c r="F18" s="63"/>
      <c r="G18" s="79"/>
      <c r="H18" s="2"/>
      <c r="K18" s="12"/>
      <c r="L18" s="52"/>
      <c r="M18" s="77">
        <f>IF(O10=0,"",IF(O16=0,IF(P16="","","Atterrissage"),""))</f>
      </c>
      <c r="N18" s="66"/>
      <c r="O18" s="67"/>
      <c r="P18" s="68">
        <f>IF($O$10=0,"",IF(AG18=0,IF(AG16=0,"",IF('CARB(V)'!$J$30=0,$AX$10,'CARB(V)'!$J$30)),ROUND(AG18,0)))</f>
      </c>
      <c r="Q18" s="78"/>
      <c r="R18" s="63"/>
      <c r="S18" s="79"/>
      <c r="T18" s="2"/>
      <c r="U18" s="2"/>
      <c r="V18" s="2"/>
      <c r="W18" s="14"/>
      <c r="X18" s="15"/>
      <c r="Y18" s="16" t="e">
        <f>Y16+Z16</f>
        <v>#N/A</v>
      </c>
      <c r="Z18" s="72" t="e">
        <f>IF(AB18=C8,AB3+(C8-AB2)/LOOKUP(J1,AI4:AI29,AN4:AN29)-Y18,IF(AB18&lt;=J3,LOOKUP(AB18,AK4:AK29,AJ4:AJ29)-Y18,IF(AB18&lt;=C8-J5,J2+(AB18-J3)/LOOKUP(J1,AI4:AI29,AN4:AN29)-Y18,J2+((C8-AB2)/LOOKUP(J1,AI4:AI29,AN4:AN29))+J4-LOOKUP(AC18,AP4:AP29,AO4:AO29)-Y18)))</f>
        <v>#N/A</v>
      </c>
      <c r="AA18" s="16"/>
      <c r="AB18" s="16">
        <f>AB16+C18</f>
        <v>0</v>
      </c>
      <c r="AC18" s="60">
        <f>AC16-C18</f>
        <v>0</v>
      </c>
      <c r="AD18" s="16">
        <f>AD16+O18</f>
        <v>0</v>
      </c>
      <c r="AE18" s="16">
        <f>AE16-O18</f>
        <v>0</v>
      </c>
      <c r="AF18" s="16"/>
      <c r="AG18" s="72" t="e">
        <f>IF(AD18=$O$8,$AD$3+($O$8-$AD$2)/LOOKUP($V$1,$AI$4:$AI$29,$AN$4:$AN$29)-AH18,IF(AD18&lt;=$V$3,LOOKUP(AD18,$AK$4:$AK$29,$AJ$4:$AJ$29)-AH18,IF(AD18&lt;=$O$8-$V$5,$V$2+(AD18-$V$3)/LOOKUP($V$1,$AI$4:$AI$29,$AN$4:$AN$29)-AH18,$V$2+(($O$8-$AD$2)/LOOKUP($V$1,$AI$4:$AI$29,$AN$4:$AN$29))+$V$4-LOOKUP(AE18,$AP$4:$AP$29,$AO$4:$AO$29)-AH18)))</f>
        <v>#N/A</v>
      </c>
      <c r="AH18" s="16" t="e">
        <f>AH16+AG16</f>
        <v>#N/A</v>
      </c>
      <c r="AI18" s="16">
        <v>70</v>
      </c>
      <c r="AJ18" s="16">
        <v>12</v>
      </c>
      <c r="AK18" s="16">
        <v>15</v>
      </c>
      <c r="AL18" s="16">
        <v>8.7</v>
      </c>
      <c r="AM18" s="16">
        <f>33.88/60</f>
        <v>0.5646666666666668</v>
      </c>
      <c r="AN18" s="16">
        <f>124/60</f>
        <v>2.066666666666667</v>
      </c>
      <c r="AO18" s="16">
        <f>AI18*100/500</f>
        <v>14</v>
      </c>
      <c r="AP18" s="16">
        <f>ROUNDDOWN(((135+(135+135*AI18/600))/2)*AO18/60,1)</f>
        <v>33.3</v>
      </c>
      <c r="AQ18" s="16">
        <f>ROUNDUP(AJ18*28/60,1)</f>
        <v>5.6</v>
      </c>
      <c r="AR18" s="15"/>
      <c r="AS18" s="15"/>
      <c r="AT18" s="15"/>
      <c r="AU18" s="15"/>
      <c r="AV18" s="15"/>
      <c r="AW18" s="15"/>
      <c r="AX18" s="15"/>
      <c r="AY18" s="15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</row>
    <row r="19" spans="1:105" ht="19.5" customHeight="1">
      <c r="A19" s="73"/>
      <c r="B19" s="66"/>
      <c r="C19" s="67"/>
      <c r="D19" s="74"/>
      <c r="E19" s="75"/>
      <c r="F19" s="63"/>
      <c r="G19" s="76">
        <f>IF(D18="","",IF(Z18&lt;&gt;0,ROUNDUP(AA19,0),IF('CARB(V)'!J8=0,ROUNDUP((AA19+AU11+AU12),0),ROUND(AA19+AU12+(45/60)*'CARB(V)'!J8,0))))</f>
      </c>
      <c r="H19" s="2"/>
      <c r="K19" s="12"/>
      <c r="L19" s="52"/>
      <c r="M19" s="73"/>
      <c r="N19" s="66"/>
      <c r="O19" s="67"/>
      <c r="P19" s="74"/>
      <c r="Q19" s="75"/>
      <c r="R19" s="63"/>
      <c r="S19" s="76">
        <f>IF(P18="","",IF(AG18&lt;&gt;0,ROUNDUP(AF19,0),IF('CARB(V)'!$J$30=0,ROUNDUP((AF19+$AX$11+$AX$12),0),ROUND(AF19+$AX$12+(45/60)*'CARB(V)'!$J$30,0))))</f>
      </c>
      <c r="T19" s="2"/>
      <c r="U19" s="2"/>
      <c r="V19" s="2"/>
      <c r="W19" s="14"/>
      <c r="X19" s="15"/>
      <c r="Y19" s="16"/>
      <c r="Z19" s="72"/>
      <c r="AA19" s="16" t="e">
        <f>IF(AB18=C8,AB4+(LOOKUP(J1,AI4:AI29,AM4:AM29))*(C8-AB2)/LOOKUP(J1,AI4:AI29,AN4:AN29),IF(AB18&lt;=J3,LOOKUP(AB18,AK4:AK29,AL4:AL29),IF(AB18&lt;=C8-J5,AU3+(LOOKUP(J1,AI4:AI29,AM4:AM29))*(AB18-J3)/LOOKUP(J1,AI4:AI29,AN4:AN29),AB4+(LOOKUP(J1,AI4:AI29,AM4:AM29))*((C8-AB2)/LOOKUP(J1,AI4:AI29,AN4:AN29))-LOOKUP(AC18,AP4:AP29,AQ4:AQ29))))</f>
        <v>#N/A</v>
      </c>
      <c r="AB19" s="16"/>
      <c r="AC19" s="60"/>
      <c r="AD19" s="16"/>
      <c r="AE19" s="16"/>
      <c r="AF19" s="16" t="e">
        <f>IF(AD18=$O$8,$AD$4+(LOOKUP($V$1,$AI$4:$AI$29,$AM$4:$AM$29))*($O$8-$AD$2)/LOOKUP($V$1,$AI$4:$AI$29,$AN$4:$AN$29),IF(AD18&lt;=$V$3,LOOKUP(AD18,$AK$4:$AK$29,$AL$4:$AL$29),IF(AD18&lt;=$O$8-$V$5,$AX$3+(LOOKUP($V$1,$AI$4:$AI$29,$AM$4:$AM$29))*(AD18-$V$3)/LOOKUP($V$1,$AI$4:$AI$29,$AN$4:$AN$29),$AD$4+(LOOKUP($V$1,$AI$4:$AI$29,$AM$4:$AM$29))*(($O$8-$AD$2)/LOOKUP($V$1,$AI$4:$AI$29,$AN$4:$AN$29))-LOOKUP(AE18,$AP$4:$AP$29,$AQ$4:$AQ$29))))</f>
        <v>#N/A</v>
      </c>
      <c r="AG19" s="72"/>
      <c r="AH19" s="16"/>
      <c r="AI19" s="16">
        <v>75</v>
      </c>
      <c r="AJ19" s="16">
        <v>13.5</v>
      </c>
      <c r="AK19" s="16">
        <v>17</v>
      </c>
      <c r="AL19" s="16">
        <v>9.6</v>
      </c>
      <c r="AM19" s="16">
        <f>32.75/60</f>
        <v>0.5458333333333333</v>
      </c>
      <c r="AN19" s="16">
        <f>125/60</f>
        <v>2.0833333333333335</v>
      </c>
      <c r="AO19" s="16">
        <f>AI19*100/500</f>
        <v>15</v>
      </c>
      <c r="AP19" s="16">
        <f>ROUNDDOWN(((135+(135+135*AI19/600))/2)*AO19/60,1)</f>
        <v>35.8</v>
      </c>
      <c r="AQ19" s="16">
        <f>ROUNDUP(AJ19*28/60,1)</f>
        <v>6.3</v>
      </c>
      <c r="AR19" s="15"/>
      <c r="AS19" s="15"/>
      <c r="AT19" s="15"/>
      <c r="AU19" s="15"/>
      <c r="AV19" s="15"/>
      <c r="AW19" s="15"/>
      <c r="AX19" s="15"/>
      <c r="AY19" s="15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</row>
    <row r="20" spans="1:105" ht="19.5" customHeight="1">
      <c r="A20" s="77">
        <f>IF(C10=0,"",IF(C18=0,IF(D18="","","Atterrissage"),""))</f>
      </c>
      <c r="B20" s="66"/>
      <c r="C20" s="67"/>
      <c r="D20" s="68">
        <f>IF(C10=0,"",IF(Z20=0,IF(Z18=0,"",IF('CARB(V)'!J8=0,AU10,'CARB(V)'!J8)),ROUND(Z20,0)))</f>
      </c>
      <c r="E20" s="78"/>
      <c r="F20" s="63"/>
      <c r="G20" s="79"/>
      <c r="H20" s="2"/>
      <c r="K20" s="12"/>
      <c r="L20" s="52"/>
      <c r="M20" s="77">
        <f>IF(O10=0,"",IF(O18=0,IF(P18="","","Atterrissage"),""))</f>
      </c>
      <c r="N20" s="66"/>
      <c r="O20" s="67"/>
      <c r="P20" s="68">
        <f>IF($O$10=0,"",IF(AG20=0,IF(AG18=0,"",IF('CARB(V)'!$J$30=0,$AX$10,'CARB(V)'!$J$30)),ROUND(AG20,0)))</f>
      </c>
      <c r="Q20" s="78"/>
      <c r="R20" s="63"/>
      <c r="S20" s="79"/>
      <c r="T20" s="2"/>
      <c r="U20" s="2"/>
      <c r="V20" s="2"/>
      <c r="W20" s="14"/>
      <c r="X20" s="15"/>
      <c r="Y20" s="16" t="e">
        <f>Y18+Z18</f>
        <v>#N/A</v>
      </c>
      <c r="Z20" s="72" t="e">
        <f>IF(AB20=C8,AB3+(C8-AB2)/LOOKUP(J1,AI4:AI29,AN4:AN29)-Y20,IF(AB20&lt;=J3,LOOKUP(AB20,AK4:AK29,AJ4:AJ29)-Y20,IF(AB20&lt;=C8-J5,J2+(AB20-J3)/LOOKUP(J1,AI4:AI29,AN4:AN29)-Y20,J2+((C8-AB2)/LOOKUP(J1,AI4:AI29,AN4:AN29))+J4-LOOKUP(AC20,AP4:AP29,AO4:AO29)-Y20)))</f>
        <v>#N/A</v>
      </c>
      <c r="AA20" s="16"/>
      <c r="AB20" s="16">
        <f>AB18+C20</f>
        <v>0</v>
      </c>
      <c r="AC20" s="60">
        <f>AC18-C20</f>
        <v>0</v>
      </c>
      <c r="AD20" s="16">
        <f>AD18+O20</f>
        <v>0</v>
      </c>
      <c r="AE20" s="16">
        <f>AE18-O20</f>
        <v>0</v>
      </c>
      <c r="AF20" s="16"/>
      <c r="AG20" s="72" t="e">
        <f>IF(AD20=$O$8,$AD$3+($O$8-$AD$2)/LOOKUP($V$1,$AI$4:$AI$29,$AN$4:$AN$29)-AH20,IF(AD20&lt;=$V$3,LOOKUP(AD20,$AK$4:$AK$29,$AJ$4:$AJ$29)-AH20,IF(AD20&lt;=$O$8-$V$5,$V$2+(AD20-$V$3)/LOOKUP($V$1,$AI$4:$AI$29,$AN$4:$AN$29)-AH20,$V$2+(($O$8-$AD$2)/LOOKUP($V$1,$AI$4:$AI$29,$AN$4:$AN$29))+$V$4-LOOKUP(AE20,$AP$4:$AP$29,$AO$4:$AO$29)-AH20)))</f>
        <v>#N/A</v>
      </c>
      <c r="AH20" s="16" t="e">
        <f>AH18+AG18</f>
        <v>#N/A</v>
      </c>
      <c r="AI20" s="16">
        <v>80</v>
      </c>
      <c r="AJ20" s="16">
        <v>15</v>
      </c>
      <c r="AK20" s="16">
        <v>19</v>
      </c>
      <c r="AL20" s="16">
        <v>10.2</v>
      </c>
      <c r="AM20" s="16">
        <f>32.75/60</f>
        <v>0.5458333333333333</v>
      </c>
      <c r="AN20" s="16">
        <f>125/60</f>
        <v>2.0833333333333335</v>
      </c>
      <c r="AO20" s="16">
        <f>AI20*100/500</f>
        <v>16</v>
      </c>
      <c r="AP20" s="16">
        <f>ROUNDDOWN(((135+(135+135*AI20/600))/2)*AO20/60,1)</f>
        <v>38.4</v>
      </c>
      <c r="AQ20" s="16">
        <f>ROUNDUP(AJ20*27.3/60,1)</f>
        <v>6.9</v>
      </c>
      <c r="AR20" s="15"/>
      <c r="AS20" s="15"/>
      <c r="AT20" s="15"/>
      <c r="AU20" s="15"/>
      <c r="AV20" s="15"/>
      <c r="AW20" s="15"/>
      <c r="AX20" s="15"/>
      <c r="AY20" s="15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</row>
    <row r="21" spans="1:105" ht="19.5" customHeight="1">
      <c r="A21" s="73"/>
      <c r="B21" s="66"/>
      <c r="C21" s="67"/>
      <c r="D21" s="74"/>
      <c r="E21" s="75"/>
      <c r="F21" s="63"/>
      <c r="G21" s="76">
        <f>IF(D20="","",IF(Z20&lt;&gt;0,ROUNDUP(AA21,0),IF('CARB(V)'!J8=0,ROUNDUP((AA21+AU11+AU12),0),ROUND(AA21+AU12+(45/60)*'CARB(V)'!J8,0))))</f>
      </c>
      <c r="H21" s="2"/>
      <c r="K21" s="12"/>
      <c r="L21" s="52"/>
      <c r="M21" s="73"/>
      <c r="N21" s="66"/>
      <c r="O21" s="67"/>
      <c r="P21" s="74"/>
      <c r="Q21" s="75"/>
      <c r="R21" s="63"/>
      <c r="S21" s="76">
        <f>IF(P20="","",IF(AG20&lt;&gt;0,ROUNDUP(AF21,0),IF('CARB(V)'!$J$30=0,ROUNDUP((AF21+$AX$11+$AX$12),0),ROUND(AF21+$AX$12+(45/60)*'CARB(V)'!$J$30,0))))</f>
      </c>
      <c r="T21" s="2"/>
      <c r="U21" s="2"/>
      <c r="V21" s="2"/>
      <c r="W21" s="14"/>
      <c r="X21" s="15"/>
      <c r="Y21" s="16"/>
      <c r="Z21" s="72"/>
      <c r="AA21" s="16" t="e">
        <f>IF(AB20=C8,AB4+(LOOKUP(J1,AI4:AI29,AM4:AM29))*(C8-AB2)/LOOKUP(J1,AI4:AI29,AN4:AN29),IF(AB20&lt;=J3,LOOKUP(AB20,AK4:AK29,AL4:AL29),IF(AB20&lt;=C8-J5,AU3+(LOOKUP(J1,AI4:AI29,AM4:AM29))*(AB20-J3)/LOOKUP(J1,AI4:AI29,AN4:AN29),AB4+(LOOKUP(J1,AI4:AI29,AM4:AM29))*((C8-AB2)/LOOKUP(J1,AI4:AI29,AN4:AN29))-LOOKUP(AC20,AP4:AP29,AQ4:AQ29))))</f>
        <v>#N/A</v>
      </c>
      <c r="AB21" s="16"/>
      <c r="AC21" s="60"/>
      <c r="AD21" s="16"/>
      <c r="AE21" s="16"/>
      <c r="AF21" s="16" t="e">
        <f>IF(AD20=$O$8,$AD$4+(LOOKUP($V$1,$AI$4:$AI$29,$AM$4:$AM$29))*($O$8-$AD$2)/LOOKUP($V$1,$AI$4:$AI$29,$AN$4:$AN$29),IF(AD20&lt;=$V$3,LOOKUP(AD20,$AK$4:$AK$29,$AL$4:$AL$29),IF(AD20&lt;=$O$8-$V$5,$AX$3+(LOOKUP($V$1,$AI$4:$AI$29,$AM$4:$AM$29))*(AD20-$V$3)/LOOKUP($V$1,$AI$4:$AI$29,$AN$4:$AN$29),$AD$4+(LOOKUP($V$1,$AI$4:$AI$29,$AM$4:$AM$29))*(($O$8-$AD$2)/LOOKUP($V$1,$AI$4:$AI$29,$AN$4:$AN$29))-LOOKUP(AE20,$AP$4:$AP$29,$AQ$4:$AQ$29))))</f>
        <v>#N/A</v>
      </c>
      <c r="AG21" s="72"/>
      <c r="AH21" s="16"/>
      <c r="AI21" s="16">
        <v>85</v>
      </c>
      <c r="AJ21" s="16">
        <v>16</v>
      </c>
      <c r="AK21" s="16">
        <v>20.5</v>
      </c>
      <c r="AL21" s="16">
        <v>11.1</v>
      </c>
      <c r="AM21" s="16">
        <f>33.12/60</f>
        <v>0.5519999999999999</v>
      </c>
      <c r="AN21" s="16">
        <f>125/60</f>
        <v>2.0833333333333335</v>
      </c>
      <c r="AO21" s="16">
        <f>AI21*100/500</f>
        <v>17</v>
      </c>
      <c r="AP21" s="16">
        <f>ROUNDDOWN(((135+(135+135*AI21/600))/2)*AO21/60,1)</f>
        <v>40.9</v>
      </c>
      <c r="AQ21" s="16">
        <f>ROUNDUP(AJ21*27.6/60,1)</f>
        <v>7.4</v>
      </c>
      <c r="AR21" s="15"/>
      <c r="AS21" s="15"/>
      <c r="AT21" s="15"/>
      <c r="AU21" s="15"/>
      <c r="AV21" s="15"/>
      <c r="AW21" s="15"/>
      <c r="AX21" s="15"/>
      <c r="AY21" s="15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</row>
    <row r="22" spans="1:105" ht="19.5" customHeight="1">
      <c r="A22" s="77">
        <f>IF(C10=0,"",IF(C20=0,IF(D20="","","Atterrissage"),""))</f>
      </c>
      <c r="B22" s="66"/>
      <c r="C22" s="67"/>
      <c r="D22" s="68">
        <f>IF(C10=0,"",IF(Z22=0,IF(Z20=0,"",IF('CARB(V)'!J8=0,AU10,'CARB(V)'!J8)),ROUND(Z22,0)))</f>
      </c>
      <c r="E22" s="78"/>
      <c r="F22" s="63"/>
      <c r="G22" s="79"/>
      <c r="H22" s="2"/>
      <c r="K22" s="12"/>
      <c r="L22" s="52"/>
      <c r="M22" s="77">
        <f>IF(O10=0,"",IF(O20=0,IF(P20="","","Atterrissage"),""))</f>
      </c>
      <c r="N22" s="66"/>
      <c r="O22" s="67"/>
      <c r="P22" s="68">
        <f>IF($O$10=0,"",IF(AG22=0,IF(AG20=0,"",IF('CARB(V)'!$J$30=0,$AX$10,'CARB(V)'!$J$30)),ROUND(AG22,0)))</f>
      </c>
      <c r="Q22" s="78"/>
      <c r="R22" s="63"/>
      <c r="S22" s="79"/>
      <c r="T22" s="2"/>
      <c r="U22" s="2"/>
      <c r="V22" s="2"/>
      <c r="W22" s="14"/>
      <c r="X22" s="15"/>
      <c r="Y22" s="16" t="e">
        <f>Y20+Z20</f>
        <v>#N/A</v>
      </c>
      <c r="Z22" s="72" t="e">
        <f>IF(AB22=C8,AB3+(C8-AB2)/LOOKUP(J1,AI4:AI29,AN4:AN29)-Y22,IF(AB22&lt;=J3,LOOKUP(AB22,AK4:AK29,AJ4:AJ29)-Y22,IF(AB22&lt;=C8-J5,J2+(AB22-J3)/LOOKUP(J1,AI4:AI29,AN4:AN29)-Y22,J2+((C8-AB2)/LOOKUP(J1,AI4:AI29,AN4:AN29))+J4-LOOKUP(AC22,AP4:AP29,AO4:AO29)-Y22)))</f>
        <v>#N/A</v>
      </c>
      <c r="AA22" s="16"/>
      <c r="AB22" s="16">
        <f>AB20+C22</f>
        <v>0</v>
      </c>
      <c r="AC22" s="60">
        <f>AC20-C22</f>
        <v>0</v>
      </c>
      <c r="AD22" s="16">
        <f>AD20+O22</f>
        <v>0</v>
      </c>
      <c r="AE22" s="16">
        <f>AE20-O22</f>
        <v>0</v>
      </c>
      <c r="AF22" s="16"/>
      <c r="AG22" s="72" t="e">
        <f>IF(AD22=$O$8,$AD$3+($O$8-$AD$2)/LOOKUP($V$1,$AI$4:$AI$29,$AN$4:$AN$29)-AH22,IF(AD22&lt;=$V$3,LOOKUP(AD22,$AK$4:$AK$29,$AJ$4:$AJ$29)-AH22,IF(AD22&lt;=$O$8-$V$5,$V$2+(AD22-$V$3)/LOOKUP($V$1,$AI$4:$AI$29,$AN$4:$AN$29)-AH22,$V$2+(($O$8-$AD$2)/LOOKUP($V$1,$AI$4:$AI$29,$AN$4:$AN$29))+$V$4-LOOKUP(AE22,$AP$4:$AP$29,$AO$4:$AO$29)-AH22)))</f>
        <v>#N/A</v>
      </c>
      <c r="AH22" s="16" t="e">
        <f>AH20+AG20</f>
        <v>#N/A</v>
      </c>
      <c r="AI22" s="16">
        <v>90</v>
      </c>
      <c r="AJ22" s="16">
        <v>17</v>
      </c>
      <c r="AK22" s="16">
        <v>22</v>
      </c>
      <c r="AL22" s="16">
        <v>12.1</v>
      </c>
      <c r="AM22" s="16">
        <f>33.6/60</f>
        <v>0.56</v>
      </c>
      <c r="AN22" s="16">
        <f>125/60</f>
        <v>2.0833333333333335</v>
      </c>
      <c r="AO22" s="16">
        <f>AI22*100/500</f>
        <v>18</v>
      </c>
      <c r="AP22" s="16">
        <f>ROUNDDOWN(((135+(135+135*AI22/600))/2)*AO22/60,1)</f>
        <v>43.5</v>
      </c>
      <c r="AQ22" s="16">
        <f>ROUNDUP(AJ22*28/60,1)</f>
        <v>8</v>
      </c>
      <c r="AR22" s="15"/>
      <c r="AS22" s="15"/>
      <c r="AT22" s="15"/>
      <c r="AU22" s="15"/>
      <c r="AV22" s="15"/>
      <c r="AW22" s="15"/>
      <c r="AX22" s="15"/>
      <c r="AY22" s="15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</row>
    <row r="23" spans="1:105" ht="19.5" customHeight="1">
      <c r="A23" s="73"/>
      <c r="B23" s="66"/>
      <c r="C23" s="67"/>
      <c r="D23" s="74"/>
      <c r="E23" s="75"/>
      <c r="F23" s="63"/>
      <c r="G23" s="76">
        <f>IF(D22="","",IF(Z22&lt;&gt;0,ROUNDUP(AA23,0),IF('CARB(V)'!J8=0,ROUNDUP((AA23+AU11+AU12),0),ROUND(AA23+AU12+(45/60)*'CARB(V)'!J8,0))))</f>
      </c>
      <c r="H23" s="2"/>
      <c r="K23" s="12"/>
      <c r="L23" s="52"/>
      <c r="M23" s="73"/>
      <c r="N23" s="66"/>
      <c r="O23" s="67"/>
      <c r="P23" s="74"/>
      <c r="Q23" s="75"/>
      <c r="R23" s="63"/>
      <c r="S23" s="76">
        <f>IF(P22="","",IF(AG22&lt;&gt;0,ROUNDUP(AF23,0),IF('CARB(V)'!$J$30=0,ROUNDUP((AF23+$AX$11+$AX$12),0),ROUND(AF23+$AX$12+(45/60)*'CARB(V)'!$J$30,0))))</f>
      </c>
      <c r="T23" s="2"/>
      <c r="U23" s="2"/>
      <c r="V23" s="2"/>
      <c r="W23" s="14"/>
      <c r="X23" s="15"/>
      <c r="Y23" s="16"/>
      <c r="Z23" s="72"/>
      <c r="AA23" s="16" t="e">
        <f>IF(AB22=C8,AB4+(LOOKUP(J1,AI4:AI29,AM4:AM29))*(C8-AB2)/LOOKUP(J1,AI4:AI29,AN4:AN29),IF(AB22&lt;=J3,LOOKUP(AB22,AK4:AK29,AL4:AL29),IF(AB22&lt;=C8-J5,AU3+(LOOKUP(J1,AI4:AI29,AM4:AM29))*(AB22-J3)/LOOKUP(J1,AI4:AI29,AN4:AN29),AB4+(LOOKUP(J1,AI4:AI29,AM4:AM29))*((C8-AB2)/LOOKUP(J1,AI4:AI29,AN4:AN29))-LOOKUP(AC22,AP4:AP29,AQ4:AQ29))))</f>
        <v>#N/A</v>
      </c>
      <c r="AB23" s="16"/>
      <c r="AC23" s="60"/>
      <c r="AD23" s="16"/>
      <c r="AE23" s="16"/>
      <c r="AF23" s="16" t="e">
        <f>IF(AD22=$O$8,$AD$4+(LOOKUP($V$1,$AI$4:$AI$29,$AM$4:$AM$29))*($O$8-$AD$2)/LOOKUP($V$1,$AI$4:$AI$29,$AN$4:$AN$29),IF(AD22&lt;=$V$3,LOOKUP(AD22,$AK$4:$AK$29,$AL$4:$AL$29),IF(AD22&lt;=$O$8-$V$5,$AX$3+(LOOKUP($V$1,$AI$4:$AI$29,$AM$4:$AM$29))*(AD22-$V$3)/LOOKUP($V$1,$AI$4:$AI$29,$AN$4:$AN$29),$AD$4+(LOOKUP($V$1,$AI$4:$AI$29,$AM$4:$AM$29))*(($O$8-$AD$2)/LOOKUP($V$1,$AI$4:$AI$29,$AN$4:$AN$29))-LOOKUP(AE22,$AP$4:$AP$29,$AQ$4:$AQ$29))))</f>
        <v>#N/A</v>
      </c>
      <c r="AG23" s="72"/>
      <c r="AH23" s="16"/>
      <c r="AI23" s="16">
        <v>95</v>
      </c>
      <c r="AJ23" s="16">
        <v>19</v>
      </c>
      <c r="AK23" s="16">
        <v>24.5</v>
      </c>
      <c r="AL23" s="16">
        <v>13</v>
      </c>
      <c r="AM23" s="16">
        <f>34.08/60</f>
        <v>0.568</v>
      </c>
      <c r="AN23" s="16">
        <f>125/60</f>
        <v>2.0833333333333335</v>
      </c>
      <c r="AO23" s="16">
        <f>AI23*100/500</f>
        <v>19</v>
      </c>
      <c r="AP23" s="16">
        <f>ROUNDDOWN(((135+(135+135*AI23/600))/2)*AO23/60,1)</f>
        <v>46.1</v>
      </c>
      <c r="AQ23" s="16">
        <f>ROUNDUP(AJ23*28.4/60,1)</f>
        <v>9</v>
      </c>
      <c r="AR23" s="15"/>
      <c r="AS23" s="15"/>
      <c r="AT23" s="15"/>
      <c r="AU23" s="15"/>
      <c r="AV23" s="15"/>
      <c r="AW23" s="15"/>
      <c r="AX23" s="15"/>
      <c r="AY23" s="15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</row>
    <row r="24" spans="1:105" ht="19.5" customHeight="1">
      <c r="A24" s="77">
        <f>IF(C10=0,"",IF(C22=0,IF(D22="","","Atterrissage"),""))</f>
      </c>
      <c r="B24" s="66"/>
      <c r="C24" s="84"/>
      <c r="D24" s="68">
        <f>IF(C10=0,"",IF(Z24=0,IF(Z22=0,"",IF('CARB(V)'!J8=0,AU10,'CARB(V)'!J8)),ROUND(Z24,0)))</f>
      </c>
      <c r="E24" s="78"/>
      <c r="F24" s="63"/>
      <c r="G24" s="79"/>
      <c r="H24" s="2"/>
      <c r="K24" s="12"/>
      <c r="L24" s="52"/>
      <c r="M24" s="77">
        <f>IF(O10=0,"",IF(O22=0,IF(P22="","","Atterrissage"),""))</f>
      </c>
      <c r="N24" s="66"/>
      <c r="O24" s="84"/>
      <c r="P24" s="68">
        <f>IF($O$10=0,"",IF(AG24=0,IF(AG22=0,"",IF('CARB(V)'!$J$30=0,$AX$10,'CARB(V)'!$J$30)),ROUND(AG24,0)))</f>
      </c>
      <c r="Q24" s="78"/>
      <c r="R24" s="63"/>
      <c r="S24" s="79"/>
      <c r="T24" s="2"/>
      <c r="U24" s="2"/>
      <c r="V24" s="2"/>
      <c r="W24" s="14"/>
      <c r="X24" s="15"/>
      <c r="Y24" s="16" t="e">
        <f>Y22+Z22</f>
        <v>#N/A</v>
      </c>
      <c r="Z24" s="72" t="e">
        <f>IF(AB24=C8,AB3+(C8-AB2)/LOOKUP(J1,AI4:AI29,AN4:AN29)-Y24,IF(AB24&lt;=J3,LOOKUP(AB24,AK4:AK29,AJ4:AJ29)-Y24,IF(AB24&lt;=C8-J5,J2+(AB24-J3)/LOOKUP(J1,AI4:AI29,AN4:AN29)-Y24,J2+((C8-AB2)/LOOKUP(J1,AI4:AI29,AN4:AN29))+J4-LOOKUP(AC24,AP4:AP29,AO4:AO29)-Y24)))</f>
        <v>#N/A</v>
      </c>
      <c r="AA24" s="16"/>
      <c r="AB24" s="16">
        <f>AB22+C24</f>
        <v>0</v>
      </c>
      <c r="AC24" s="60">
        <f>AC22-C24</f>
        <v>0</v>
      </c>
      <c r="AD24" s="16">
        <f>AD22+O24</f>
        <v>0</v>
      </c>
      <c r="AE24" s="16">
        <f>AE22-O24</f>
        <v>0</v>
      </c>
      <c r="AF24" s="16"/>
      <c r="AG24" s="72" t="e">
        <f>IF(AD24=$O$8,$AD$3+($O$8-$AD$2)/LOOKUP($V$1,$AI$4:$AI$29,$AN$4:$AN$29)-AH24,IF(AD24&lt;=$V$3,LOOKUP(AD24,$AK$4:$AK$29,$AJ$4:$AJ$29)-AH24,IF(AD24&lt;=$O$8-$V$5,$V$2+(AD24-$V$3)/LOOKUP($V$1,$AI$4:$AI$29,$AN$4:$AN$29)-AH24,$V$2+(($O$8-$AD$2)/LOOKUP($V$1,$AI$4:$AI$29,$AN$4:$AN$29))+$V$4-LOOKUP(AE24,$AP$4:$AP$29,$AO$4:$AO$29)-AH24)))</f>
        <v>#N/A</v>
      </c>
      <c r="AH24" s="16" t="e">
        <f>AH22+AG22</f>
        <v>#N/A</v>
      </c>
      <c r="AI24" s="16">
        <v>100</v>
      </c>
      <c r="AJ24" s="16">
        <v>21</v>
      </c>
      <c r="AK24" s="16">
        <v>27</v>
      </c>
      <c r="AL24" s="16">
        <v>14</v>
      </c>
      <c r="AM24" s="16">
        <f>34.56/60</f>
        <v>0.5760000000000001</v>
      </c>
      <c r="AN24" s="16">
        <f>125/60</f>
        <v>2.0833333333333335</v>
      </c>
      <c r="AO24" s="16">
        <f>AI24*100/500</f>
        <v>20</v>
      </c>
      <c r="AP24" s="16">
        <f>ROUNDDOWN(((135+(135+135*AI24/600))/2)*AO24/60,1)</f>
        <v>48.7</v>
      </c>
      <c r="AQ24" s="16">
        <f>ROUNDUP(AJ24*28.8/60,1)</f>
        <v>10.1</v>
      </c>
      <c r="AR24" s="15"/>
      <c r="AS24" s="15"/>
      <c r="AT24" s="15"/>
      <c r="AU24" s="15"/>
      <c r="AV24" s="15"/>
      <c r="AW24" s="15"/>
      <c r="AX24" s="15"/>
      <c r="AY24" s="15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</row>
    <row r="25" spans="1:105" ht="19.5" customHeight="1">
      <c r="A25" s="73"/>
      <c r="B25" s="66"/>
      <c r="C25" s="84"/>
      <c r="D25" s="74"/>
      <c r="E25" s="75"/>
      <c r="F25" s="63"/>
      <c r="G25" s="76">
        <f>IF(D24="","",IF(Z24&lt;&gt;0,ROUNDUP(AA25,0),IF('CARB(V)'!J8=0,ROUNDUP((AA25+AU11+AU12),0),ROUND(AA25+AU12+(45/60)*'CARB(V)'!J8,0))))</f>
      </c>
      <c r="H25" s="2"/>
      <c r="K25" s="12"/>
      <c r="L25" s="52"/>
      <c r="M25" s="73"/>
      <c r="N25" s="66"/>
      <c r="O25" s="84"/>
      <c r="P25" s="74"/>
      <c r="Q25" s="75"/>
      <c r="R25" s="63"/>
      <c r="S25" s="76">
        <f>IF(P24="","",IF(AG24&lt;&gt;0,ROUNDUP(AF25,0),IF('CARB(V)'!$J$30=0,ROUNDUP((AF25+$AX$11+$AX$12),0),ROUND(AF25+$AX$12+(45/60)*'CARB(V)'!$J$30,0))))</f>
      </c>
      <c r="T25" s="2"/>
      <c r="U25" s="2"/>
      <c r="V25" s="2"/>
      <c r="W25" s="14"/>
      <c r="X25" s="15"/>
      <c r="Y25" s="16"/>
      <c r="Z25" s="72"/>
      <c r="AA25" s="16" t="e">
        <f>IF(AB24=C8,AB4+(LOOKUP(J1,AI4:AI29,AM4:AM29))*(C8-AB2)/LOOKUP(J1,AI4:AI29,AN4:AN29),IF(AB24&lt;=J3,LOOKUP(AB24,AK4:AK29,AL4:AL29),IF(AB24&lt;=C8-J5,AU3+(LOOKUP(J1,AI4:AI29,AM4:AM29))*(AB24-J3)/LOOKUP(J1,AI4:AI29,AN4:AN29),AB4+(LOOKUP(J1,AI4:AI29,AM4:AM29))*((C8-AB2)/LOOKUP(J1,AI4:AI29,AN4:AN29))-LOOKUP(AC24,AP4:AP29,AQ4:AQ29))))</f>
        <v>#N/A</v>
      </c>
      <c r="AB25" s="16"/>
      <c r="AC25" s="60"/>
      <c r="AD25" s="16"/>
      <c r="AE25" s="16"/>
      <c r="AF25" s="16" t="e">
        <f>IF(AD24=$O$8,$AD$4+(LOOKUP($V$1,$AI$4:$AI$29,$AM$4:$AM$29))*($O$8-$AD$2)/LOOKUP($V$1,$AI$4:$AI$29,$AN$4:$AN$29),IF(AD24&lt;=$V$3,LOOKUP(AD24,$AK$4:$AK$29,$AL$4:$AL$29),IF(AD24&lt;=$O$8-$V$5,$AX$3+(LOOKUP($V$1,$AI$4:$AI$29,$AM$4:$AM$29))*(AD24-$V$3)/LOOKUP($V$1,$AI$4:$AI$29,$AN$4:$AN$29),$AD$4+(LOOKUP($V$1,$AI$4:$AI$29,$AM$4:$AM$29))*(($O$8-$AD$2)/LOOKUP($V$1,$AI$4:$AI$29,$AN$4:$AN$29))-LOOKUP(AE24,$AP$4:$AP$29,$AQ$4:$AQ$29))))</f>
        <v>#N/A</v>
      </c>
      <c r="AG25" s="72"/>
      <c r="AH25" s="16"/>
      <c r="AI25" s="16">
        <v>105</v>
      </c>
      <c r="AJ25" s="16">
        <v>22.5</v>
      </c>
      <c r="AK25" s="16">
        <v>29.5</v>
      </c>
      <c r="AL25" s="16">
        <v>15</v>
      </c>
      <c r="AM25" s="16">
        <f>34.08/60</f>
        <v>0.568</v>
      </c>
      <c r="AN25" s="16">
        <f>126/60</f>
        <v>2.1</v>
      </c>
      <c r="AO25" s="16">
        <f>AI25*100/500</f>
        <v>21</v>
      </c>
      <c r="AP25" s="16">
        <f>ROUNDDOWN(((135+(135+135*AI25/600))/2)*AO25/60,1)</f>
        <v>51.3</v>
      </c>
      <c r="AQ25" s="16">
        <f>ROUNDUP(AJ25*28.4/60,1)</f>
        <v>10.7</v>
      </c>
      <c r="AR25" s="15"/>
      <c r="AS25" s="15"/>
      <c r="AT25" s="15"/>
      <c r="AU25" s="15"/>
      <c r="AV25" s="15"/>
      <c r="AW25" s="15"/>
      <c r="AX25" s="15"/>
      <c r="AY25" s="15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</row>
    <row r="26" spans="1:105" ht="19.5" customHeight="1">
      <c r="A26" s="77">
        <f>IF(C10=0,"",IF(C24=0,IF(D24="","","Atterrissage"),""))</f>
      </c>
      <c r="B26" s="66"/>
      <c r="C26" s="84"/>
      <c r="D26" s="68">
        <f>IF(C10=0,"",IF(Z26=0,IF(Z24=0,"",IF('CARB(V)'!J8=0,AU10,'CARB(V)'!J8)),ROUND(Z26,0)))</f>
      </c>
      <c r="E26" s="78"/>
      <c r="F26" s="63"/>
      <c r="G26" s="79"/>
      <c r="H26" s="2"/>
      <c r="K26" s="12"/>
      <c r="L26" s="52"/>
      <c r="M26" s="77">
        <f>IF(O10=0,"",IF(O24=0,IF(P24="","","Atterrissage"),""))</f>
      </c>
      <c r="N26" s="66"/>
      <c r="O26" s="84"/>
      <c r="P26" s="68">
        <f>IF($O$10=0,"",IF(AG26=0,IF(AG24=0,"",IF('CARB(V)'!$J$30=0,$AX$10,'CARB(V)'!$J$30)),ROUND(AG26,0)))</f>
      </c>
      <c r="Q26" s="78"/>
      <c r="R26" s="63"/>
      <c r="S26" s="79"/>
      <c r="T26" s="2"/>
      <c r="U26" s="2"/>
      <c r="V26" s="2"/>
      <c r="W26" s="14"/>
      <c r="X26" s="15"/>
      <c r="Y26" s="16" t="e">
        <f>Y24+Z24</f>
        <v>#N/A</v>
      </c>
      <c r="Z26" s="72" t="e">
        <f>IF(AB26=C8,AB3+(C8-AB2)/LOOKUP(J1,AI4:AI29,AN4:AN29)-Y26,IF(AB26&lt;=J3,LOOKUP(AB26,AK4:AK29,AJ4:AJ29)-Y26,IF(AB26&lt;=C8-J5,J2+(AB26-J3)/LOOKUP(J1,AI4:AI29,AN4:AN29)-Y26,J2+((C8-AB2)/LOOKUP(J1,AI4:AI29,AN4:AN29))+J4-LOOKUP(AC26,AP4:AP29,AO4:AO29)-Y26)))</f>
        <v>#N/A</v>
      </c>
      <c r="AA26" s="16"/>
      <c r="AB26" s="16">
        <f>AB24+C26</f>
        <v>0</v>
      </c>
      <c r="AC26" s="60">
        <f>AC24-C26</f>
        <v>0</v>
      </c>
      <c r="AD26" s="16">
        <f>AD24+O26</f>
        <v>0</v>
      </c>
      <c r="AE26" s="16">
        <f>AE24-O26</f>
        <v>0</v>
      </c>
      <c r="AF26" s="16"/>
      <c r="AG26" s="72" t="e">
        <f>IF(AD26=$O$8,$AD$3+($O$8-$AD$2)/LOOKUP($V$1,$AI$4:$AI$29,$AN$4:$AN$29)-AH26,IF(AD26&lt;=$V$3,LOOKUP(AD26,$AK$4:$AK$29,$AJ$4:$AJ$29)-AH26,IF(AD26&lt;=$O$8-$V$5,$V$2+(AD26-$V$3)/LOOKUP($V$1,$AI$4:$AI$29,$AN$4:$AN$29)-AH26,$V$2+(($O$8-$AD$2)/LOOKUP($V$1,$AI$4:$AI$29,$AN$4:$AN$29))+$V$4-LOOKUP(AE26,$AP$4:$AP$29,$AO$4:$AO$29)-AH26)))</f>
        <v>#N/A</v>
      </c>
      <c r="AH26" s="16" t="e">
        <f>AH24+AG24</f>
        <v>#N/A</v>
      </c>
      <c r="AI26" s="16">
        <v>110</v>
      </c>
      <c r="AJ26" s="16">
        <v>24</v>
      </c>
      <c r="AK26" s="16">
        <v>32</v>
      </c>
      <c r="AL26" s="16">
        <v>15.9</v>
      </c>
      <c r="AM26" s="16">
        <f>33.6/60</f>
        <v>0.56</v>
      </c>
      <c r="AN26" s="16">
        <f>127/60</f>
        <v>2.1166666666666667</v>
      </c>
      <c r="AO26" s="16">
        <f>AI26*100/500</f>
        <v>22</v>
      </c>
      <c r="AP26" s="16">
        <f>ROUNDDOWN(((135+(135+135*AI26/600))/2)*AO26/60,1)</f>
        <v>54</v>
      </c>
      <c r="AQ26" s="16">
        <f>ROUNDUP(AJ26*28/60,1)</f>
        <v>11.2</v>
      </c>
      <c r="AR26" s="15"/>
      <c r="AS26" s="15"/>
      <c r="AT26" s="15"/>
      <c r="AU26" s="15"/>
      <c r="AV26" s="15"/>
      <c r="AW26" s="15"/>
      <c r="AX26" s="15"/>
      <c r="AY26" s="15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</row>
    <row r="27" spans="1:105" ht="19.5" customHeight="1">
      <c r="A27" s="73"/>
      <c r="B27" s="66"/>
      <c r="C27" s="84"/>
      <c r="D27" s="74"/>
      <c r="E27" s="75"/>
      <c r="F27" s="63"/>
      <c r="G27" s="76">
        <f>IF(D26="","",IF(Z26&lt;&gt;0,ROUNDUP(AA27,0),IF('CARB(V)'!J8=0,ROUNDUP((AA27+AU11+AU12),0),ROUND(AA27+AU12+(45/60)*'CARB(V)'!J8,0))))</f>
      </c>
      <c r="H27" s="2"/>
      <c r="K27" s="12"/>
      <c r="L27" s="52"/>
      <c r="M27" s="73"/>
      <c r="N27" s="66"/>
      <c r="O27" s="84"/>
      <c r="P27" s="74"/>
      <c r="Q27" s="75"/>
      <c r="R27" s="63"/>
      <c r="S27" s="76">
        <f>IF(P26="","",IF(AG26&lt;&gt;0,ROUNDUP(AF27,0),IF('CARB(V)'!$J$30=0,ROUNDUP((AF27+$AX$11+$AX$12),0),ROUND(AF27+$AX$12+(45/60)*'CARB(V)'!$J$30,0))))</f>
      </c>
      <c r="T27" s="2"/>
      <c r="U27" s="2"/>
      <c r="V27" s="2"/>
      <c r="W27" s="14"/>
      <c r="X27" s="15"/>
      <c r="Y27" s="16"/>
      <c r="Z27" s="72"/>
      <c r="AA27" s="16" t="e">
        <f>IF(AB26=C8,AB4+(LOOKUP(J1,AI4:AI29,AM4:AM29))*(C8-AB2)/LOOKUP(J1,AI4:AI29,AN4:AN29),IF(AB26&lt;=J3,LOOKUP(AB26,AK4:AK29,AL4:AL29),IF(AB26&lt;=C8-J5,AU3+(LOOKUP(J1,AI4:AI29,AM4:AM29))*(AB26-J3)/LOOKUP(J1,AI4:AI29,AN4:AN29),AB4+(LOOKUP(J1,AI4:AI29,AM4:AM29))*((C8-AB4)/LOOKUP(J1,AI4:AI29,AN4:AN29))-LOOKUP(AC26,AP4:AP29,AQ4:AQ29))))</f>
        <v>#N/A</v>
      </c>
      <c r="AB27" s="16"/>
      <c r="AC27" s="60"/>
      <c r="AD27" s="16"/>
      <c r="AE27" s="16"/>
      <c r="AF27" s="16" t="e">
        <f>IF(AD26=$O$8,$AD$4+(LOOKUP($V$1,$AI$4:$AI$29,$AM$4:$AM$29))*($O$8-$AD$2)/LOOKUP($V$1,$AI$4:$AI$29,$AN$4:$AN$29),IF(AD26&lt;=$V$3,LOOKUP(AD26,$AK$4:$AK$29,$AL$4:$AL$29),IF(AD26&lt;=$O$8-$V$5,$AX$3+(LOOKUP($V$1,$AI$4:$AI$29,$AM$4:$AM$29))*(AD26-$V$3)/LOOKUP($V$1,$AI$4:$AI$29,$AN$4:$AN$29),$AD$4+(LOOKUP($V$1,$AI$4:$AI$29,$AM$4:$AM$29))*(($O$8-$AD$2)/LOOKUP($V$1,$AI$4:$AI$29,$AN$4:$AN$29))-LOOKUP(AE26,$AP$4:$AP$29,$AQ$4:$AQ$29))))</f>
        <v>#N/A</v>
      </c>
      <c r="AG27" s="72"/>
      <c r="AH27" s="16"/>
      <c r="AI27" s="16">
        <v>115</v>
      </c>
      <c r="AJ27" s="16">
        <v>26.5</v>
      </c>
      <c r="AK27" s="16">
        <v>35</v>
      </c>
      <c r="AL27" s="16">
        <v>17.2</v>
      </c>
      <c r="AM27" s="16">
        <f>33.12/60</f>
        <v>0.5519999999999999</v>
      </c>
      <c r="AN27" s="16">
        <f>117/60</f>
        <v>1.95</v>
      </c>
      <c r="AO27" s="16">
        <f>AI27*100/500</f>
        <v>23</v>
      </c>
      <c r="AP27" s="16">
        <f>ROUNDDOWN(((125+(125+125*AI27/600))/2)*AO27/60,1)</f>
        <v>52.5</v>
      </c>
      <c r="AQ27" s="16">
        <f>ROUNDUP(AJ27*27.6/60,1)</f>
        <v>12.2</v>
      </c>
      <c r="AR27" s="15"/>
      <c r="AS27" s="15"/>
      <c r="AT27" s="15"/>
      <c r="AU27" s="15"/>
      <c r="AV27" s="15"/>
      <c r="AW27" s="15"/>
      <c r="AX27" s="15"/>
      <c r="AY27" s="15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</row>
    <row r="28" spans="1:105" ht="19.5" customHeight="1">
      <c r="A28" s="77">
        <f>IF(C10=0,"",IF(C26=0,IF(D26="","","Atterrissage"),""))</f>
      </c>
      <c r="B28" s="66"/>
      <c r="C28" s="84"/>
      <c r="D28" s="68">
        <f>IF(C10=0,"",IF(Z28=0,IF(Z26=0,"",IF('CARB(V)'!J8=0,AU10,'CARB(V)'!J8)),ROUND(Z28,0)))</f>
      </c>
      <c r="E28" s="78"/>
      <c r="F28" s="63"/>
      <c r="G28" s="79"/>
      <c r="H28" s="2"/>
      <c r="K28" s="12"/>
      <c r="L28" s="52"/>
      <c r="M28" s="77">
        <f>IF(O10=0,"",IF(O26=0,IF(P26="","","Atterrissage"),""))</f>
      </c>
      <c r="N28" s="66"/>
      <c r="O28" s="84"/>
      <c r="P28" s="68">
        <f>IF($O$10=0,"",IF(AG28=0,IF(AG26=0,"",IF('CARB(V)'!$J$30=0,$AX$10,'CARB(V)'!$J$30)),ROUND(AG28,0)))</f>
      </c>
      <c r="Q28" s="78"/>
      <c r="R28" s="63"/>
      <c r="S28" s="79"/>
      <c r="T28" s="2"/>
      <c r="U28" s="2"/>
      <c r="V28" s="2"/>
      <c r="W28" s="14"/>
      <c r="X28" s="15"/>
      <c r="Y28" s="16" t="e">
        <f>Y26+Z26</f>
        <v>#N/A</v>
      </c>
      <c r="Z28" s="72" t="e">
        <f>IF(AB28=C8,AB3+(C8-AB2)/LOOKUP(J1,AI4:AI29,AN4:AN29)-Y28,IF(AB28&lt;=J3,LOOKUP(AB28,AK4:AK29,AJ4:AJ29)-Y28,IF(AB28&lt;=C8-J5,J2+(AB28-J3)/LOOKUP(J1,AI4:AI29,AN4:AN29)-Y28,J2+((C8-AB2)/LOOKUP(J1,AI4:AI29,AN4:AN29))+J4-LOOKUP(AC28,AP4:AP29,AO4:AO29)-Y28)))</f>
        <v>#N/A</v>
      </c>
      <c r="AA28" s="16"/>
      <c r="AB28" s="16">
        <f>AB26+C28</f>
        <v>0</v>
      </c>
      <c r="AC28" s="60">
        <f>AC26-C28</f>
        <v>0</v>
      </c>
      <c r="AD28" s="16">
        <f>AD26+O28</f>
        <v>0</v>
      </c>
      <c r="AE28" s="16">
        <f>AE26-O28</f>
        <v>0</v>
      </c>
      <c r="AF28" s="16"/>
      <c r="AG28" s="72" t="e">
        <f>IF(AD28=$O$8,$AD$3+($O$8-$AD$2)/LOOKUP($V$1,$AI$4:$AI$29,$AN$4:$AN$29)-AH28,IF(AD28&lt;=$V$3,LOOKUP(AD28,$AK$4:$AK$29,$AJ$4:$AJ$29)-AH28,IF(AD28&lt;=$O$8-$V$5,$V$2+(AD28-$V$3)/LOOKUP($V$1,$AI$4:$AI$29,$AN$4:$AN$29)-AH28,$V$2+(($O$8-$AD$2)/LOOKUP($V$1,$AI$4:$AI$29,$AN$4:$AN$29))+$V$4-LOOKUP(AE28,$AP$4:$AP$29,$AO$4:$AO$29)-AH28)))</f>
        <v>#N/A</v>
      </c>
      <c r="AH28" s="16" t="e">
        <f>AH26+AG26</f>
        <v>#N/A</v>
      </c>
      <c r="AI28" s="16">
        <v>120</v>
      </c>
      <c r="AJ28" s="16">
        <v>29</v>
      </c>
      <c r="AK28" s="16">
        <v>38</v>
      </c>
      <c r="AL28" s="16">
        <v>18.5</v>
      </c>
      <c r="AM28" s="16">
        <f>32.75/60</f>
        <v>0.5458333333333333</v>
      </c>
      <c r="AN28" s="16">
        <f>118/60</f>
        <v>1.9666666666666666</v>
      </c>
      <c r="AO28" s="16">
        <f>AI28*100/500</f>
        <v>24</v>
      </c>
      <c r="AP28" s="16">
        <f>ROUNDDOWN(((125+(125+125*AI28/600))/2)*AO28/60,1)</f>
        <v>55</v>
      </c>
      <c r="AQ28" s="16">
        <f>ROUNDUP(AJ28*27.3/60,1)</f>
        <v>13.2</v>
      </c>
      <c r="AR28" s="15"/>
      <c r="AS28" s="15"/>
      <c r="AT28" s="15"/>
      <c r="AU28" s="15"/>
      <c r="AV28" s="15"/>
      <c r="AW28" s="15"/>
      <c r="AX28" s="15"/>
      <c r="AY28" s="15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</row>
    <row r="29" spans="1:105" ht="19.5" customHeight="1">
      <c r="A29" s="73"/>
      <c r="B29" s="66"/>
      <c r="C29" s="84"/>
      <c r="D29" s="74"/>
      <c r="E29" s="75"/>
      <c r="F29" s="63"/>
      <c r="G29" s="76">
        <f>IF(D28="","",IF(Z28&lt;&gt;0,ROUNDUP(AA29,0),IF('CARB(V)'!J8=0,ROUNDUP((AA29+AU11+AU12),0),ROUND(AA29+AU12+(45/60)*'CARB(V)'!J8,0))))</f>
      </c>
      <c r="H29" s="2"/>
      <c r="K29" s="12"/>
      <c r="L29" s="52"/>
      <c r="M29" s="73"/>
      <c r="N29" s="66"/>
      <c r="O29" s="84"/>
      <c r="P29" s="74"/>
      <c r="Q29" s="75"/>
      <c r="R29" s="63"/>
      <c r="S29" s="76">
        <f>IF(P28="","",IF(AG28&lt;&gt;0,ROUNDUP(AF29,0),IF('CARB(V)'!$J$30=0,ROUNDUP((AF29+$AX$11+$AX$12),0),ROUND(AF29+$AX$12+(45/60)*'CARB(V)'!$J$30,0))))</f>
      </c>
      <c r="T29" s="2"/>
      <c r="U29" s="2"/>
      <c r="V29" s="2"/>
      <c r="W29" s="14"/>
      <c r="X29" s="15"/>
      <c r="Y29" s="16"/>
      <c r="Z29" s="72"/>
      <c r="AA29" s="16" t="e">
        <f>IF(AB28=C8,AB4+(LOOKUP(J1,AI4:AI29,AM4:AM29))*(C8-AB2)/LOOKUP(J1,AI4:AI29,AN4:AN29),IF(AB28&lt;=J3,LOOKUP(AB28,AK4:AK29,AL4:AL29),IF(AB28&lt;=C8-J5,AU3+(LOOKUP(J1,AI4:AI29,AM4:AM29))*(AB28-J3)/LOOKUP(J1,AI4:AI29,AN4:AN29),AB4+(LOOKUP(J1,AI4:AI29,AM4:AM29))*((C8-AB4)/LOOKUP(J1,AI4:AI29,AN4:AN29))-LOOKUP(AC28,AP4:AP29,AQ4:AQ29))))</f>
        <v>#N/A</v>
      </c>
      <c r="AB29" s="16"/>
      <c r="AC29" s="60"/>
      <c r="AD29" s="16"/>
      <c r="AE29" s="16"/>
      <c r="AF29" s="16" t="e">
        <f>IF(AD28=$O$8,$AD$4+(LOOKUP($V$1,$AI$4:$AI$29,$AM$4:$AM$29))*($O$8-$AD$2)/LOOKUP($V$1,$AI$4:$AI$29,$AN$4:$AN$29),IF(AD28&lt;=$V$3,LOOKUP(AD28,$AK$4:$AK$29,$AL$4:$AL$29),IF(AD28&lt;=$O$8-$V$5,$AX$3+(LOOKUP($V$1,$AI$4:$AI$29,$AM$4:$AM$29))*(AD28-$V$3)/LOOKUP($V$1,$AI$4:$AI$29,$AN$4:$AN$29),$AD$4+(LOOKUP($V$1,$AI$4:$AI$29,$AM$4:$AM$29))*(($O$8-$AD$2)/LOOKUP($V$1,$AI$4:$AI$29,$AN$4:$AN$29))-LOOKUP(AE28,$AP$4:$AP$29,$AQ$4:$AQ$29))))</f>
        <v>#N/A</v>
      </c>
      <c r="AG29" s="72"/>
      <c r="AH29" s="16"/>
      <c r="AI29" s="16">
        <v>125</v>
      </c>
      <c r="AJ29" s="16">
        <v>32</v>
      </c>
      <c r="AK29" s="16">
        <v>44</v>
      </c>
      <c r="AL29" s="16">
        <v>20</v>
      </c>
      <c r="AM29" s="16">
        <f>32.75/60</f>
        <v>0.5458333333333333</v>
      </c>
      <c r="AN29" s="16">
        <f>118/60</f>
        <v>1.9666666666666666</v>
      </c>
      <c r="AO29" s="16">
        <f>AI29*100/500</f>
        <v>25</v>
      </c>
      <c r="AP29" s="16">
        <f>ROUNDDOWN(((125+(125+125*AI29/600))/2)*AO29/60,1)</f>
        <v>57.5</v>
      </c>
      <c r="AQ29" s="16">
        <f>ROUNDUP(AJ29*27.3/60,1)</f>
        <v>14.6</v>
      </c>
      <c r="AR29" s="15"/>
      <c r="AS29" s="15"/>
      <c r="AT29" s="15"/>
      <c r="AU29" s="15"/>
      <c r="AV29" s="15"/>
      <c r="AW29" s="15"/>
      <c r="AX29" s="15"/>
      <c r="AY29" s="15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</row>
    <row r="30" spans="1:105" ht="19.5" customHeight="1">
      <c r="A30" s="77">
        <f>IF(C10=0,"",IF(C28=0,IF(D28="","","Atterrissage"),""))</f>
      </c>
      <c r="B30" s="85"/>
      <c r="C30" s="86"/>
      <c r="D30" s="68">
        <f>IF(C10=0,"",IF(Z30=0,IF(Z28=0,"",IF('CARB(V)'!J8=0,AU10,'CARB(V)'!J8)),ROUND(Z30,0)))</f>
      </c>
      <c r="E30" s="78"/>
      <c r="F30" s="63"/>
      <c r="G30" s="79"/>
      <c r="H30" s="2"/>
      <c r="K30" s="12"/>
      <c r="L30" s="52"/>
      <c r="M30" s="77">
        <f>IF(O10=0,"",IF(O28=0,IF(P28="","","Atterrissage"),""))</f>
      </c>
      <c r="N30" s="85"/>
      <c r="O30" s="86"/>
      <c r="P30" s="68">
        <f>IF($O$10=0,"",IF(AG30=0,IF(AG28=0,"",IF('CARB(V)'!$J$30=0,$AX$10,'CARB(V)'!$J$30)),ROUND(AG30,0)))</f>
      </c>
      <c r="Q30" s="78"/>
      <c r="R30" s="63"/>
      <c r="S30" s="79"/>
      <c r="T30" s="2"/>
      <c r="U30" s="2"/>
      <c r="V30" s="2"/>
      <c r="W30" s="14"/>
      <c r="X30" s="15"/>
      <c r="Y30" s="16" t="e">
        <f>Y28+Z28</f>
        <v>#N/A</v>
      </c>
      <c r="Z30" s="72" t="e">
        <f>IF(AB30=C8,AB3+(C8-AB2)/LOOKUP(J1,AI4:AI29,AN4:AN29)-Y30,IF(AB30&lt;=J3,LOOKUP(AB30,AK4:AK29,AJ4:AJ29)-Y30,IF(AB30&lt;=C8-J5,J2+(AB30-J3)/LOOKUP(J1,AI4:AI29,AN4:AN29)-Y30,J2+((C8-AB2)/LOOKUP(J1,AI4:AI29,AN4:AN29))+J4-LOOKUP(AC30,AP4:AP29,AO4:AO29)-Y30)))</f>
        <v>#N/A</v>
      </c>
      <c r="AA30" s="16"/>
      <c r="AB30" s="16">
        <f>AB28+C30</f>
        <v>0</v>
      </c>
      <c r="AC30" s="60">
        <f>AC28-C30</f>
        <v>0</v>
      </c>
      <c r="AD30" s="16">
        <f>AD28+O30</f>
        <v>0</v>
      </c>
      <c r="AE30" s="16">
        <f>AE28-O30</f>
        <v>0</v>
      </c>
      <c r="AF30" s="16"/>
      <c r="AG30" s="72" t="e">
        <f>IF(AD30=$O$8,$AD$3+($O$8-$AD$2)/LOOKUP($V$1,$AI$4:$AI$29,$AN$4:$AN$29)-AH30,IF(AD30&lt;=$V$3,LOOKUP(AD30,$AK$4:$AK$29,$AJ$4:$AJ$29)-AH30,IF(AD30&lt;=$O$8-$V$5,$V$2+(AD30-$V$3)/LOOKUP($V$1,$AI$4:$AI$29,$AN$4:$AN$29)-AH30,$V$2+(($O$8-$AD$2)/LOOKUP($V$1,$AI$4:$AI$29,$AN$4:$AN$29))+$V$4-LOOKUP(AE30,$AP$4:$AP$29,$AO$4:$AO$29)-AH30)))</f>
        <v>#N/A</v>
      </c>
      <c r="AH30" s="16" t="e">
        <f>AH28+AG28</f>
        <v>#N/A</v>
      </c>
      <c r="AI30" s="16"/>
      <c r="AJ30" s="16"/>
      <c r="AK30" s="16"/>
      <c r="AL30" s="16"/>
      <c r="AM30" s="16"/>
      <c r="AN30" s="16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7"/>
      <c r="BA30" s="17"/>
      <c r="BB30" s="17"/>
      <c r="BC30" s="17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</row>
    <row r="31" spans="1:55" ht="19.5" customHeight="1">
      <c r="A31" s="73"/>
      <c r="B31" s="85"/>
      <c r="C31" s="86"/>
      <c r="D31" s="74"/>
      <c r="E31" s="75"/>
      <c r="F31" s="87"/>
      <c r="G31" s="76">
        <f>IF(D30="","",IF(Z30&lt;&gt;0,ROUNDUP(AA31,0),IF('CARB(V)'!J8=0,ROUNDUP((AA31+AU11+AU12),0),ROUND(AA31+AU12+(45/60)*'CARB(V)'!J8,0))))</f>
      </c>
      <c r="H31" s="2"/>
      <c r="K31" s="12"/>
      <c r="L31" s="52"/>
      <c r="M31" s="73"/>
      <c r="N31" s="85"/>
      <c r="O31" s="86"/>
      <c r="P31" s="74"/>
      <c r="Q31" s="75"/>
      <c r="R31" s="87"/>
      <c r="S31" s="76">
        <f>IF(P30="","",IF(AG30&lt;&gt;0,ROUNDUP(AF31,0),IF('CARB(V)'!$J$30=0,ROUNDUP((AF31+$AX$11+$AX$12),0),ROUND(AF31+$AX$12+(45/60)*'CARB(V)'!$J$30,0))))</f>
      </c>
      <c r="T31" s="2"/>
      <c r="U31" s="2"/>
      <c r="V31" s="2"/>
      <c r="W31" s="12"/>
      <c r="X31" s="17"/>
      <c r="Y31" s="88"/>
      <c r="Z31" s="89"/>
      <c r="AA31" s="88" t="e">
        <f>IF(AB30=C8,AB4+(LOOKUP(J1,AI4:AI29,AM4:AM29))*(C8-AB2)/LOOKUP(J1,AI4:AI29,AN4:AN29),IF(AB30&lt;=J3,LOOKUP(AB30,AK4:AK29,AL4:AL29),IF(AB30&lt;=C8-J5,AU3+(LOOKUP(J1,AI4:AI29,AM4:AM29))*(AB30-J3)/LOOKUP(J1,AI4:AI29,AN4:AN29),AB4+(LOOKUP(J1,AI4:AI29,AM4:AM29))*((C8-AB4)/LOOKUP(J1,AI4:AI29,AN9:AN29))-LOOKUP(AC30,AP4:AP29,AQ4:AQ29))))</f>
        <v>#N/A</v>
      </c>
      <c r="AB31" s="90"/>
      <c r="AC31" s="17"/>
      <c r="AD31" s="91"/>
      <c r="AE31" s="15"/>
      <c r="AF31" s="88" t="e">
        <f>IF(AD30=$O$8,$AD$4+(LOOKUP($V$1,$AI$4:$AI$29,$AM$4:$AM$29))*($O$8-$AD$2)/LOOKUP($V$1,$AI$4:$AI$29,$AN$4:$AN$29),IF(AD30&lt;=$V$3,LOOKUP(AD30,$AK$4:$AK$29,$AL$4:$AL$29),IF(AD30&lt;=$O$8-$V$5,$AX$3+(LOOKUP($V$1,$AI$4:$AI$29,$AM$4:$AM$29))*(AD30-$V$3)/LOOKUP($V$1,$AI$4:$AI$29,$AN$4:$AN$29),$AD$4+(LOOKUP($V$1,$AI$4:$AI$29,$AM$4:$AM$29))*(($O$8-$AD$2)/LOOKUP($V$1,$AI$4:$AI$29,$AN$4:$AN$29))-LOOKUP(AE30,$AP$4:$AP$29,$AQ$4:$AQ$29))))</f>
        <v>#N/A</v>
      </c>
      <c r="AG31" s="88"/>
      <c r="AH31" s="92"/>
      <c r="AI31" s="93"/>
      <c r="AJ31" s="93"/>
      <c r="AK31" s="93"/>
      <c r="AL31" s="93"/>
      <c r="AM31" s="93"/>
      <c r="AN31" s="93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</row>
    <row r="32" spans="1:55" ht="19.5" customHeight="1">
      <c r="A32" s="94">
        <f>IF(C12=0,"",IF(C30=0,IF(D30="","","Atterrissage"),""))</f>
      </c>
      <c r="B32" s="95"/>
      <c r="C32" s="96"/>
      <c r="D32" s="97"/>
      <c r="E32" s="98"/>
      <c r="F32" s="87"/>
      <c r="G32" s="99"/>
      <c r="H32" s="100"/>
      <c r="J32" s="101"/>
      <c r="K32" s="12"/>
      <c r="L32" s="52"/>
      <c r="M32" s="94">
        <f>IF(O12=0,"",IF(O30=0,IF(P30="","","Atterrissage"),""))</f>
      </c>
      <c r="N32" s="102"/>
      <c r="O32" s="103"/>
      <c r="P32" s="68"/>
      <c r="Q32" s="98"/>
      <c r="R32" s="87"/>
      <c r="S32" s="99"/>
      <c r="T32" s="100"/>
      <c r="U32" s="2"/>
      <c r="V32" s="101"/>
      <c r="W32" s="12"/>
      <c r="X32" s="17"/>
      <c r="Y32" s="90"/>
      <c r="Z32" s="89"/>
      <c r="AA32" s="90"/>
      <c r="AB32" s="90"/>
      <c r="AC32" s="17"/>
      <c r="AD32" s="91"/>
      <c r="AE32" s="15"/>
      <c r="AF32" s="90"/>
      <c r="AG32" s="90"/>
      <c r="AH32" s="104"/>
      <c r="AI32" s="93"/>
      <c r="AJ32" s="93"/>
      <c r="AK32" s="93"/>
      <c r="AL32" s="93"/>
      <c r="AM32" s="93"/>
      <c r="AN32" s="93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</row>
    <row r="33" spans="1:55" ht="9.75" customHeight="1">
      <c r="A33" s="40"/>
      <c r="B33" s="105"/>
      <c r="C33" s="105"/>
      <c r="D33" s="106"/>
      <c r="E33" s="106"/>
      <c r="F33" s="105"/>
      <c r="G33" s="106"/>
      <c r="H33" s="107"/>
      <c r="I33" s="107"/>
      <c r="J33" s="108"/>
      <c r="K33" s="109"/>
      <c r="L33" s="110"/>
      <c r="M33" s="40"/>
      <c r="N33" s="105"/>
      <c r="O33" s="105"/>
      <c r="P33" s="106"/>
      <c r="Q33" s="106"/>
      <c r="R33" s="105"/>
      <c r="S33" s="106"/>
      <c r="T33" s="107"/>
      <c r="U33" s="107"/>
      <c r="V33" s="108"/>
      <c r="W33" s="12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93"/>
      <c r="AJ33" s="93"/>
      <c r="AK33" s="93"/>
      <c r="AL33" s="93"/>
      <c r="AM33" s="93"/>
      <c r="AN33" s="93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</row>
    <row r="34" spans="1:51" ht="15.75" customHeight="1">
      <c r="A34" s="111"/>
      <c r="B34" s="111"/>
      <c r="C34" s="112"/>
      <c r="D34" s="111"/>
      <c r="E34" s="111"/>
      <c r="F34" s="111"/>
      <c r="G34" s="112"/>
      <c r="H34" s="111"/>
      <c r="I34" s="111"/>
      <c r="J34" s="111"/>
      <c r="K34" s="113"/>
      <c r="L34" s="110"/>
      <c r="M34" s="111"/>
      <c r="N34" s="111"/>
      <c r="O34" s="111"/>
      <c r="P34" s="111"/>
      <c r="Q34" s="111"/>
      <c r="R34" s="111"/>
      <c r="S34" s="111"/>
      <c r="T34" s="112"/>
      <c r="U34" s="112"/>
      <c r="V34" s="111"/>
      <c r="W34" s="114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93"/>
      <c r="AJ34" s="93"/>
      <c r="AK34" s="93"/>
      <c r="AL34" s="93"/>
      <c r="AM34" s="93"/>
      <c r="AN34" s="93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</row>
    <row r="35" spans="1:23" ht="15.75" customHeight="1">
      <c r="A35" s="111"/>
      <c r="B35" s="111"/>
      <c r="C35" s="112"/>
      <c r="D35" s="111"/>
      <c r="E35" s="111"/>
      <c r="F35" s="111"/>
      <c r="G35" s="112"/>
      <c r="H35" s="111"/>
      <c r="I35" s="111"/>
      <c r="J35" s="111"/>
      <c r="K35" s="111"/>
      <c r="L35" s="110"/>
      <c r="M35" s="111"/>
      <c r="N35" s="111"/>
      <c r="O35" s="111"/>
      <c r="P35" s="111"/>
      <c r="Q35" s="111"/>
      <c r="R35" s="111"/>
      <c r="S35" s="111"/>
      <c r="T35" s="112"/>
      <c r="U35" s="112"/>
      <c r="V35" s="111"/>
      <c r="W35" s="2"/>
    </row>
    <row r="36" spans="1:23" ht="15.75" customHeight="1">
      <c r="A36" s="111"/>
      <c r="B36" s="111"/>
      <c r="C36" s="112"/>
      <c r="D36" s="111"/>
      <c r="E36" s="111"/>
      <c r="F36" s="111"/>
      <c r="G36" s="112"/>
      <c r="H36" s="111"/>
      <c r="I36" s="111"/>
      <c r="J36" s="111"/>
      <c r="K36" s="111"/>
      <c r="L36" s="110"/>
      <c r="M36" s="111"/>
      <c r="N36" s="111"/>
      <c r="O36" s="111"/>
      <c r="P36" s="111"/>
      <c r="Q36" s="111"/>
      <c r="R36" s="111"/>
      <c r="S36" s="111"/>
      <c r="T36" s="112"/>
      <c r="U36" s="112"/>
      <c r="V36" s="111"/>
      <c r="W36" s="2"/>
    </row>
    <row r="37" spans="1:23" ht="15.75" customHeight="1">
      <c r="A37" s="111"/>
      <c r="B37" s="111"/>
      <c r="C37" s="112"/>
      <c r="D37" s="111"/>
      <c r="E37" s="111"/>
      <c r="F37" s="111"/>
      <c r="G37" s="112"/>
      <c r="H37" s="111"/>
      <c r="I37" s="111"/>
      <c r="J37" s="111"/>
      <c r="K37" s="111"/>
      <c r="L37" s="110"/>
      <c r="M37" s="111"/>
      <c r="N37" s="111"/>
      <c r="O37" s="111"/>
      <c r="P37" s="111"/>
      <c r="Q37" s="111"/>
      <c r="R37" s="111"/>
      <c r="S37" s="111"/>
      <c r="T37" s="112"/>
      <c r="U37" s="112"/>
      <c r="V37" s="111"/>
      <c r="W37" s="2"/>
    </row>
    <row r="38" spans="1:23" ht="15.75" customHeight="1">
      <c r="A38" s="2"/>
      <c r="B38" s="111"/>
      <c r="C38" s="112"/>
      <c r="D38" s="111"/>
      <c r="E38" s="111"/>
      <c r="F38" s="111"/>
      <c r="G38" s="112"/>
      <c r="H38" s="111"/>
      <c r="I38" s="111"/>
      <c r="J38" s="111"/>
      <c r="K38" s="111"/>
      <c r="L38" s="110"/>
      <c r="M38" s="2"/>
      <c r="N38" s="111"/>
      <c r="O38" s="111"/>
      <c r="P38" s="111"/>
      <c r="Q38" s="111"/>
      <c r="R38" s="111"/>
      <c r="S38" s="111"/>
      <c r="T38" s="112"/>
      <c r="U38" s="112"/>
      <c r="V38" s="111"/>
      <c r="W38" s="2"/>
    </row>
    <row r="39" spans="1:23" ht="15.75" customHeight="1">
      <c r="A39" s="111"/>
      <c r="B39" s="111"/>
      <c r="C39" s="112"/>
      <c r="D39" s="111"/>
      <c r="E39" s="111"/>
      <c r="F39" s="111"/>
      <c r="G39" s="112"/>
      <c r="H39" s="111"/>
      <c r="I39" s="111"/>
      <c r="J39" s="111"/>
      <c r="K39" s="111"/>
      <c r="L39" s="110"/>
      <c r="M39" s="111"/>
      <c r="N39" s="111"/>
      <c r="O39" s="111"/>
      <c r="P39" s="111"/>
      <c r="Q39" s="111"/>
      <c r="R39" s="111"/>
      <c r="S39" s="111"/>
      <c r="T39" s="112"/>
      <c r="U39" s="112"/>
      <c r="V39" s="111"/>
      <c r="W39" s="2"/>
    </row>
    <row r="40" spans="1:23" ht="19.5" customHeight="1">
      <c r="A40" s="110"/>
      <c r="B40" s="110"/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2"/>
    </row>
    <row r="41" spans="1:23" ht="19.5" customHeight="1">
      <c r="A41" s="110"/>
      <c r="B41" s="110"/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2"/>
    </row>
    <row r="42" spans="1:23" ht="19.5" customHeight="1">
      <c r="A42" s="110"/>
      <c r="B42" s="110"/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2"/>
    </row>
    <row r="43" spans="1:23" ht="19.5" customHeight="1">
      <c r="A43" s="110"/>
      <c r="B43" s="110"/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2"/>
    </row>
    <row r="44" spans="1:23" ht="19.5" customHeight="1">
      <c r="A44" s="110"/>
      <c r="B44" s="110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2"/>
    </row>
    <row r="45" spans="1:23" ht="19.5" customHeight="1">
      <c r="A45" s="110"/>
      <c r="B45" s="110"/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2"/>
    </row>
    <row r="46" spans="1:23" ht="19.5" customHeight="1">
      <c r="A46" s="110"/>
      <c r="B46" s="110"/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2"/>
    </row>
    <row r="47" spans="1:23" ht="19.5" customHeight="1">
      <c r="A47" s="110"/>
      <c r="B47" s="110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2"/>
    </row>
    <row r="48" spans="1:23" ht="19.5" customHeight="1">
      <c r="A48" s="110"/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2"/>
    </row>
    <row r="49" spans="1:23" ht="19.5" customHeight="1">
      <c r="A49" s="110"/>
      <c r="B49" s="110"/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2"/>
    </row>
    <row r="50" spans="1:23" ht="19.5" customHeight="1">
      <c r="A50" s="110"/>
      <c r="B50" s="110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2"/>
    </row>
    <row r="51" spans="1:23" ht="19.5" customHeight="1">
      <c r="A51" s="110"/>
      <c r="B51" s="110"/>
      <c r="C51" s="110"/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2"/>
    </row>
    <row r="52" spans="12:23" ht="12.75"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2"/>
    </row>
    <row r="53" spans="12:23" ht="12.75"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2"/>
    </row>
    <row r="54" spans="12:22" ht="12.75">
      <c r="L54" s="115"/>
      <c r="M54" s="115"/>
      <c r="N54" s="115"/>
      <c r="O54" s="115"/>
      <c r="P54" s="115"/>
      <c r="Q54" s="115"/>
      <c r="R54" s="115"/>
      <c r="S54" s="115"/>
      <c r="T54" s="115"/>
      <c r="U54" s="115"/>
      <c r="V54" s="115"/>
    </row>
    <row r="55" spans="12:22" ht="12.75"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</row>
  </sheetData>
  <sheetProtection password="FBC5" sheet="1" selectLockedCells="1"/>
  <mergeCells count="140">
    <mergeCell ref="D1:E1"/>
    <mergeCell ref="H1:I1"/>
    <mergeCell ref="P1:Q1"/>
    <mergeCell ref="T1:U1"/>
    <mergeCell ref="D2:E2"/>
    <mergeCell ref="H2:I2"/>
    <mergeCell ref="P2:Q2"/>
    <mergeCell ref="T2:U2"/>
    <mergeCell ref="AI2:AL2"/>
    <mergeCell ref="AM2:AN2"/>
    <mergeCell ref="AO2:AQ2"/>
    <mergeCell ref="AT2:AV2"/>
    <mergeCell ref="AW2:AY2"/>
    <mergeCell ref="D3:E3"/>
    <mergeCell ref="H3:I3"/>
    <mergeCell ref="P3:Q3"/>
    <mergeCell ref="T3:U3"/>
    <mergeCell ref="B4:C4"/>
    <mergeCell ref="D4:E4"/>
    <mergeCell ref="H4:I4"/>
    <mergeCell ref="N4:O4"/>
    <mergeCell ref="P4:Q4"/>
    <mergeCell ref="T4:U4"/>
    <mergeCell ref="B5:C5"/>
    <mergeCell ref="D5:E5"/>
    <mergeCell ref="H5:I5"/>
    <mergeCell ref="N5:O5"/>
    <mergeCell ref="P5:Q5"/>
    <mergeCell ref="T5:U5"/>
    <mergeCell ref="Y5:AC5"/>
    <mergeCell ref="AD5:AH5"/>
    <mergeCell ref="B6:C6"/>
    <mergeCell ref="D6:E6"/>
    <mergeCell ref="H6:I6"/>
    <mergeCell ref="N6:O6"/>
    <mergeCell ref="P6:Q6"/>
    <mergeCell ref="T6:U6"/>
    <mergeCell ref="B7:B9"/>
    <mergeCell ref="E7:F7"/>
    <mergeCell ref="N7:N9"/>
    <mergeCell ref="Q7:R7"/>
    <mergeCell ref="G8:J8"/>
    <mergeCell ref="S8:V8"/>
    <mergeCell ref="E9:E10"/>
    <mergeCell ref="F9:F10"/>
    <mergeCell ref="G9:J9"/>
    <mergeCell ref="Q9:Q10"/>
    <mergeCell ref="R9:R10"/>
    <mergeCell ref="S9:V9"/>
    <mergeCell ref="B10:B11"/>
    <mergeCell ref="C10:C11"/>
    <mergeCell ref="N10:N11"/>
    <mergeCell ref="O10:O11"/>
    <mergeCell ref="F11:F12"/>
    <mergeCell ref="R11:R12"/>
    <mergeCell ref="B12:B13"/>
    <mergeCell ref="C12:C13"/>
    <mergeCell ref="N12:N13"/>
    <mergeCell ref="O12:O13"/>
    <mergeCell ref="F13:F14"/>
    <mergeCell ref="R13:R14"/>
    <mergeCell ref="B14:B15"/>
    <mergeCell ref="C14:C15"/>
    <mergeCell ref="N14:N15"/>
    <mergeCell ref="O14:O15"/>
    <mergeCell ref="F15:F16"/>
    <mergeCell ref="R15:R16"/>
    <mergeCell ref="AZ15:BB15"/>
    <mergeCell ref="B16:B17"/>
    <mergeCell ref="C16:C17"/>
    <mergeCell ref="N16:N17"/>
    <mergeCell ref="O16:O17"/>
    <mergeCell ref="F17:F18"/>
    <mergeCell ref="R17:R18"/>
    <mergeCell ref="B18:B19"/>
    <mergeCell ref="C18:C19"/>
    <mergeCell ref="N18:N19"/>
    <mergeCell ref="O18:O19"/>
    <mergeCell ref="F19:F20"/>
    <mergeCell ref="R19:R20"/>
    <mergeCell ref="B20:B21"/>
    <mergeCell ref="C20:C21"/>
    <mergeCell ref="N20:N21"/>
    <mergeCell ref="O20:O21"/>
    <mergeCell ref="F21:F22"/>
    <mergeCell ref="R21:R22"/>
    <mergeCell ref="B22:B23"/>
    <mergeCell ref="C22:C23"/>
    <mergeCell ref="N22:N23"/>
    <mergeCell ref="O22:O23"/>
    <mergeCell ref="F23:F24"/>
    <mergeCell ref="R23:R24"/>
    <mergeCell ref="B24:B25"/>
    <mergeCell ref="C24:C25"/>
    <mergeCell ref="N24:N25"/>
    <mergeCell ref="O24:O25"/>
    <mergeCell ref="F25:F26"/>
    <mergeCell ref="R25:R26"/>
    <mergeCell ref="B26:B27"/>
    <mergeCell ref="C26:C27"/>
    <mergeCell ref="N26:N27"/>
    <mergeCell ref="O26:O27"/>
    <mergeCell ref="F27:F28"/>
    <mergeCell ref="R27:R28"/>
    <mergeCell ref="B28:B29"/>
    <mergeCell ref="C28:C29"/>
    <mergeCell ref="N28:N29"/>
    <mergeCell ref="O28:O29"/>
    <mergeCell ref="F29:F30"/>
    <mergeCell ref="R29:R30"/>
    <mergeCell ref="B30:B31"/>
    <mergeCell ref="C30:C31"/>
    <mergeCell ref="N30:N31"/>
    <mergeCell ref="O30:O31"/>
    <mergeCell ref="F31:F32"/>
    <mergeCell ref="R31:R32"/>
    <mergeCell ref="D34:E34"/>
    <mergeCell ref="N34:O34"/>
    <mergeCell ref="P34:Q34"/>
    <mergeCell ref="R34:S34"/>
    <mergeCell ref="D35:E35"/>
    <mergeCell ref="N35:O35"/>
    <mergeCell ref="P35:Q35"/>
    <mergeCell ref="R35:S35"/>
    <mergeCell ref="D36:E36"/>
    <mergeCell ref="N36:O36"/>
    <mergeCell ref="P36:Q36"/>
    <mergeCell ref="R36:S36"/>
    <mergeCell ref="D37:E37"/>
    <mergeCell ref="N37:O37"/>
    <mergeCell ref="P37:Q37"/>
    <mergeCell ref="R37:S37"/>
    <mergeCell ref="D38:E38"/>
    <mergeCell ref="N38:O38"/>
    <mergeCell ref="P38:Q38"/>
    <mergeCell ref="R38:S38"/>
    <mergeCell ref="D39:E39"/>
    <mergeCell ref="N39:O39"/>
    <mergeCell ref="P39:Q39"/>
    <mergeCell ref="R39:S39"/>
  </mergeCells>
  <printOptions/>
  <pageMargins left="0.07847222222222222" right="0.07847222222222222" top="0.7875" bottom="0" header="0.5118055555555555" footer="0.5118055555555555"/>
  <pageSetup horizontalDpi="300" verticalDpi="300" orientation="landscape" paperSize="9" scale="8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42"/>
  <sheetViews>
    <sheetView zoomScale="45" zoomScaleNormal="45" workbookViewId="0" topLeftCell="A1">
      <selection activeCell="F8" sqref="F8"/>
    </sheetView>
  </sheetViews>
  <sheetFormatPr defaultColWidth="11.421875" defaultRowHeight="12.75"/>
  <cols>
    <col min="1" max="1" width="3.7109375" style="1" customWidth="1"/>
    <col min="2" max="2" width="6.00390625" style="1" customWidth="1"/>
    <col min="3" max="3" width="2.7109375" style="1" customWidth="1"/>
    <col min="4" max="4" width="5.7109375" style="1" customWidth="1"/>
    <col min="5" max="5" width="3.7109375" style="1" customWidth="1"/>
    <col min="6" max="7" width="5.7109375" style="1" customWidth="1"/>
    <col min="8" max="8" width="8.7109375" style="1" customWidth="1"/>
    <col min="9" max="9" width="2.7109375" style="1" customWidth="1"/>
    <col min="10" max="14" width="5.7109375" style="1" customWidth="1"/>
    <col min="15" max="15" width="8.7109375" style="1" customWidth="1"/>
    <col min="16" max="17" width="2.7109375" style="1" customWidth="1"/>
    <col min="18" max="18" width="5.7109375" style="1" customWidth="1"/>
    <col min="19" max="19" width="3.7109375" style="1" customWidth="1"/>
    <col min="20" max="20" width="6.00390625" style="1" customWidth="1"/>
    <col min="21" max="27" width="5.7109375" style="1" customWidth="1"/>
    <col min="28" max="16384" width="11.421875" style="1" customWidth="1"/>
  </cols>
  <sheetData>
    <row r="3" spans="6:20" ht="15" customHeight="1">
      <c r="F3" s="116"/>
      <c r="P3" s="117"/>
      <c r="Q3" s="117"/>
      <c r="R3" s="117"/>
      <c r="S3" s="117"/>
      <c r="T3" s="117"/>
    </row>
    <row r="4" spans="1:20" ht="15" customHeight="1">
      <c r="A4" s="118"/>
      <c r="B4" s="119"/>
      <c r="C4" s="119"/>
      <c r="D4" s="119"/>
      <c r="E4" s="119"/>
      <c r="F4" s="119"/>
      <c r="G4" s="120"/>
      <c r="H4" s="121"/>
      <c r="I4" s="119"/>
      <c r="J4" s="119"/>
      <c r="K4" s="119"/>
      <c r="L4" s="119"/>
      <c r="M4" s="119"/>
      <c r="N4" s="121"/>
      <c r="O4" s="121"/>
      <c r="P4" s="119"/>
      <c r="Q4" s="119"/>
      <c r="R4" s="119"/>
      <c r="S4" s="119"/>
      <c r="T4" s="119"/>
    </row>
    <row r="5" spans="2:20" ht="18" customHeight="1">
      <c r="B5" s="122" t="s">
        <v>60</v>
      </c>
      <c r="C5" s="122"/>
      <c r="D5" s="122"/>
      <c r="E5" s="122"/>
      <c r="F5" s="122"/>
      <c r="G5" s="123" t="s">
        <v>61</v>
      </c>
      <c r="H5" s="123"/>
      <c r="I5" s="122" t="s">
        <v>62</v>
      </c>
      <c r="J5" s="122"/>
      <c r="K5" s="122"/>
      <c r="L5" s="122"/>
      <c r="M5" s="122"/>
      <c r="N5" s="123" t="s">
        <v>63</v>
      </c>
      <c r="O5" s="123"/>
      <c r="P5" s="122" t="s">
        <v>64</v>
      </c>
      <c r="Q5" s="122"/>
      <c r="R5" s="122"/>
      <c r="S5" s="122"/>
      <c r="T5" s="122"/>
    </row>
    <row r="6" spans="2:20" ht="18" customHeight="1"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</row>
    <row r="7" spans="2:21" ht="18" customHeight="1">
      <c r="B7" s="124"/>
      <c r="C7" s="125" t="s">
        <v>19</v>
      </c>
      <c r="D7" s="125"/>
      <c r="E7" s="125"/>
      <c r="F7" s="125" t="s">
        <v>65</v>
      </c>
      <c r="G7" s="125"/>
      <c r="H7" s="125" t="s">
        <v>66</v>
      </c>
      <c r="I7" s="125"/>
      <c r="J7" s="125" t="s">
        <v>67</v>
      </c>
      <c r="K7" s="125"/>
      <c r="L7" s="124"/>
      <c r="M7" s="125" t="s">
        <v>19</v>
      </c>
      <c r="N7" s="125"/>
      <c r="O7" s="125" t="s">
        <v>65</v>
      </c>
      <c r="P7" s="125"/>
      <c r="Q7" s="125" t="s">
        <v>66</v>
      </c>
      <c r="R7" s="125"/>
      <c r="S7" s="125"/>
      <c r="T7" s="125" t="s">
        <v>67</v>
      </c>
      <c r="U7" s="125"/>
    </row>
    <row r="8" spans="2:20" ht="18" customHeight="1">
      <c r="B8" s="124"/>
      <c r="C8" s="126">
        <f>'NAV(V)'!C8</f>
      </c>
      <c r="D8" s="126"/>
      <c r="E8" s="126"/>
      <c r="F8" s="127">
        <f>IF('NAV(V)'!J1=0,"",'NAV(V)'!J1)</f>
        <v>0</v>
      </c>
      <c r="G8" s="127"/>
      <c r="H8" s="128">
        <f>IF(J8=0,15,"")</f>
        <v>15</v>
      </c>
      <c r="I8" s="128"/>
      <c r="J8" s="129"/>
      <c r="K8" s="124"/>
      <c r="L8" s="124"/>
      <c r="M8" s="128">
        <v>25</v>
      </c>
      <c r="N8" s="128"/>
      <c r="O8" s="128">
        <v>35</v>
      </c>
      <c r="P8" s="128"/>
      <c r="Q8" s="128">
        <v>25</v>
      </c>
      <c r="R8" s="128"/>
      <c r="S8" s="128"/>
      <c r="T8" s="129"/>
    </row>
    <row r="9" spans="1:20" ht="18" customHeight="1">
      <c r="A9" s="3"/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24"/>
      <c r="M9" s="124"/>
      <c r="N9" s="124"/>
      <c r="O9" s="124"/>
      <c r="P9" s="124"/>
      <c r="Q9" s="124"/>
      <c r="R9" s="124"/>
      <c r="S9" s="124"/>
      <c r="T9" s="124"/>
    </row>
    <row r="10" spans="2:20" ht="18" customHeight="1">
      <c r="B10" s="124"/>
      <c r="C10" s="125" t="s">
        <v>68</v>
      </c>
      <c r="D10" s="125"/>
      <c r="E10" s="125"/>
      <c r="F10" s="125" t="s">
        <v>69</v>
      </c>
      <c r="G10" s="125"/>
      <c r="H10" s="125" t="s">
        <v>70</v>
      </c>
      <c r="I10" s="125"/>
      <c r="J10" s="124"/>
      <c r="K10" s="124"/>
      <c r="L10" s="124"/>
      <c r="M10" s="125" t="s">
        <v>69</v>
      </c>
      <c r="N10" s="125"/>
      <c r="O10" s="125" t="s">
        <v>70</v>
      </c>
      <c r="P10" s="125"/>
      <c r="Q10" s="125" t="s">
        <v>68</v>
      </c>
      <c r="R10" s="125"/>
      <c r="S10" s="125"/>
      <c r="T10" s="124"/>
    </row>
    <row r="11" spans="2:20" ht="18" customHeight="1">
      <c r="B11" s="131" t="s">
        <v>71</v>
      </c>
      <c r="C11" s="132" t="s">
        <v>72</v>
      </c>
      <c r="D11" s="133">
        <f>IF(C8="","",ROUND(D13*LOOKUP(F8,'NAV(V)'!AI4:'NAV(V)'!AI29,'NAV(V)'!AM4:'NAV(V)'!AM29),4))</f>
      </c>
      <c r="E11" s="134" t="s">
        <v>23</v>
      </c>
      <c r="F11" s="135">
        <f>IF(C8="","",(ROUND('NAV(V)'!AU7,0))/24/60)</f>
      </c>
      <c r="G11" s="135"/>
      <c r="H11" s="136">
        <f>IF(C8="","",ROUNDUP('NAV(V)'!AU6+IF(J8=0,'NAV(V)'!AU11+'NAV(V)'!AU12,'NAV(V)'!AU12+J8*45/60),0))</f>
      </c>
      <c r="I11" s="137" t="s">
        <v>23</v>
      </c>
      <c r="J11" s="125" t="s">
        <v>73</v>
      </c>
      <c r="K11" s="125"/>
      <c r="L11" s="125"/>
      <c r="M11" s="135">
        <f>IF(M8=0,"",(ROUNDUP(LOOKUP(O8,'NAV(V)'!AI4:'NAV(V)'!AI29,'NAV(V)'!AJ4:'NAV(V)'!AJ29)+LOOKUP(O8-Q8,'NAV(V)'!AI4:'NAV(V)'!AI29,'NAV(V)'!AO4:'NAV(V)'!AO29)+(M8-LOOKUP(O8,'NAV(V)'!AI4:'NAV(V)'!AI29,'NAV(V)'!AK4:'NAV(V)'!AK29)-LOOKUP(O8-Q8,'NAV(V)'!AI4:'NAV(V)'!AI29,'NAV(V)'!AP4:'NAV(V)'!AP29))/LOOKUP(O8,'NAV(V)'!AI4:'NAV(V)'!AI29,'NAV(V)'!AN4:'NAV(V)'!AN29),0))/24/60)</f>
        <v>0.009722222222222222</v>
      </c>
      <c r="N11" s="135"/>
      <c r="O11" s="136">
        <f>IF(M8=0,"",ROUND(LOOKUP(O8,'NAV(V)'!AI4:'NAV(V)'!AI29,'NAV(V)'!AL4:'NAV(V)'!AL29)+LOOKUP(O8-Q8,'NAV(V)'!AI4:'NAV(V)'!AI29,'NAV(V)'!AQ4:'NAV(V)'!AQ29)+LOOKUP(O8,'NAV(V)'!AI4:'NAV(V)'!AI29,'NAV(V)'!AM4:'NAV(V)'!AM29)*(M8-LOOKUP(O8,'NAV(V)'!AI4:'NAV(V)'!AI29,'NAV(V)'!AK4:'NAV(V)'!AK29)-LOOKUP(O8-Q8,'NAV(V)'!AI4:'NAV(V)'!AI29,'NAV(V)'!AP4:'NAV(V)'!AP29))/LOOKUP(O8,'NAV(V)'!AI4:'NAV(V)'!AI29,'NAV(V)'!AN4:'NAV(V)'!AN29)+T8*22/60,0))</f>
        <v>8</v>
      </c>
      <c r="P11" s="138" t="s">
        <v>23</v>
      </c>
      <c r="Q11" s="139" t="s">
        <v>72</v>
      </c>
      <c r="R11" s="140">
        <f>IF(M8=0,"",ROUND(R13*LOOKUP(O8,'NAV(V)'!AI4:'NAV(V)'!AI29,'NAV(V)'!AM4:'NAV(V)'!AM29),1))</f>
        <v>0.9</v>
      </c>
      <c r="S11" s="141" t="s">
        <v>23</v>
      </c>
      <c r="T11" s="142" t="s">
        <v>71</v>
      </c>
    </row>
    <row r="12" spans="1:20" ht="18" customHeight="1">
      <c r="A12" s="143"/>
      <c r="B12" s="131"/>
      <c r="C12" s="132" t="s">
        <v>74</v>
      </c>
      <c r="D12" s="133">
        <f>IF(C8="","",ROUND(D14*LOOKUP(F8,'NAV(V)'!AI4:'NAV(V)'!AI29,'NAV(V)'!AM4:'NAV(V)'!AM29),1))</f>
      </c>
      <c r="E12" s="134" t="s">
        <v>23</v>
      </c>
      <c r="F12" s="125"/>
      <c r="G12" s="125"/>
      <c r="H12" s="125"/>
      <c r="I12" s="125"/>
      <c r="J12" s="125"/>
      <c r="K12" s="144"/>
      <c r="L12" s="125"/>
      <c r="M12" s="125"/>
      <c r="N12" s="125"/>
      <c r="O12" s="125"/>
      <c r="P12" s="125"/>
      <c r="Q12" s="132" t="s">
        <v>74</v>
      </c>
      <c r="R12" s="145">
        <f>IF(M8=0,"",ROUND(R14*LOOKUP(O8,'NAV(V)'!AI4:'NAV(V)'!AI29,'NAV(V)'!AM4:'NAV(V)'!AM29),1))</f>
        <v>0.6</v>
      </c>
      <c r="S12" s="134" t="s">
        <v>23</v>
      </c>
      <c r="T12" s="142"/>
    </row>
    <row r="13" spans="2:20" ht="18" customHeight="1">
      <c r="B13" s="131" t="s">
        <v>69</v>
      </c>
      <c r="C13" s="132" t="s">
        <v>72</v>
      </c>
      <c r="D13" s="133">
        <f>IF(C8="","",ROUNDUP((C8/('NAV(V)'!AU8-10))*60-'NAV(V)'!AU7,1))</f>
      </c>
      <c r="E13" s="146" t="s">
        <v>16</v>
      </c>
      <c r="F13" s="147" t="s">
        <v>16</v>
      </c>
      <c r="G13" s="147"/>
      <c r="H13" s="147" t="s">
        <v>23</v>
      </c>
      <c r="I13" s="147"/>
      <c r="J13" s="125" t="s">
        <v>75</v>
      </c>
      <c r="K13" s="125"/>
      <c r="L13" s="125"/>
      <c r="M13" s="147" t="s">
        <v>16</v>
      </c>
      <c r="N13" s="147"/>
      <c r="O13" s="148" t="s">
        <v>76</v>
      </c>
      <c r="P13" s="148"/>
      <c r="Q13" s="149" t="s">
        <v>72</v>
      </c>
      <c r="R13" s="125">
        <f>IF(M8=0,"",ROUNDUP(60*(M8/((M8/(M11*24*60))*60-10))-(M11*24*60),1))</f>
        <v>1.5</v>
      </c>
      <c r="S13" s="150" t="s">
        <v>16</v>
      </c>
      <c r="T13" s="142" t="s">
        <v>69</v>
      </c>
    </row>
    <row r="14" spans="1:20" ht="18" customHeight="1">
      <c r="A14" s="143"/>
      <c r="B14" s="131"/>
      <c r="C14" s="132" t="s">
        <v>74</v>
      </c>
      <c r="D14" s="133">
        <f>IF(C8="","",ROUNDDOWN(ABS((C8/('NAV(V)'!AU8+10))*60-'NAV(V)'!AU7),1))</f>
      </c>
      <c r="E14" s="146" t="s">
        <v>16</v>
      </c>
      <c r="F14" s="136"/>
      <c r="G14" s="151"/>
      <c r="H14" s="136"/>
      <c r="I14" s="137" t="s">
        <v>23</v>
      </c>
      <c r="J14" s="152">
        <v>0</v>
      </c>
      <c r="K14" s="152"/>
      <c r="L14" s="151" t="s">
        <v>77</v>
      </c>
      <c r="M14" s="136"/>
      <c r="N14" s="151"/>
      <c r="O14" s="136"/>
      <c r="P14" s="151" t="s">
        <v>23</v>
      </c>
      <c r="Q14" s="132" t="s">
        <v>74</v>
      </c>
      <c r="R14" s="145">
        <f>IF(M8=0,"",ABS(ROUNDDOWN(60*(M8/((M8/(M11*24*60))*60+10))-(M11*24*60),1)))</f>
        <v>1.1</v>
      </c>
      <c r="S14" s="146" t="s">
        <v>16</v>
      </c>
      <c r="T14" s="142"/>
    </row>
    <row r="15" spans="2:20" ht="18" customHeight="1">
      <c r="B15" s="124"/>
      <c r="C15" s="124"/>
      <c r="D15" s="124"/>
      <c r="E15" s="124"/>
      <c r="F15" s="124"/>
      <c r="G15" s="124"/>
      <c r="H15" s="124"/>
      <c r="I15" s="124"/>
      <c r="J15" s="125" t="s">
        <v>78</v>
      </c>
      <c r="K15" s="125"/>
      <c r="L15" s="125"/>
      <c r="M15" s="124"/>
      <c r="N15" s="124"/>
      <c r="O15" s="124"/>
      <c r="P15" s="124"/>
      <c r="Q15" s="124"/>
      <c r="R15" s="124"/>
      <c r="S15" s="124"/>
      <c r="T15" s="124"/>
    </row>
    <row r="16" spans="2:20" ht="18" customHeight="1">
      <c r="B16" s="124"/>
      <c r="C16" s="124"/>
      <c r="D16" s="124" t="s">
        <v>79</v>
      </c>
      <c r="F16" s="124"/>
      <c r="G16" s="124"/>
      <c r="H16" s="153"/>
      <c r="I16" s="153"/>
      <c r="J16" s="154">
        <f>IF(C8="","",H11+O16)</f>
      </c>
      <c r="K16" s="154"/>
      <c r="L16" s="151" t="s">
        <v>23</v>
      </c>
      <c r="M16" s="124"/>
      <c r="N16" s="124"/>
      <c r="O16" s="136">
        <f>IF(C8="","",IF(M8=0,45*22/60,O11+45*22/60))</f>
      </c>
      <c r="P16" s="151" t="s">
        <v>23</v>
      </c>
      <c r="Q16" s="155" t="s">
        <v>80</v>
      </c>
      <c r="R16" s="155"/>
      <c r="S16" s="155"/>
      <c r="T16" s="124"/>
    </row>
    <row r="17" spans="2:20" ht="18" customHeight="1">
      <c r="B17" s="124"/>
      <c r="C17" s="124"/>
      <c r="D17" s="124"/>
      <c r="E17" s="124"/>
      <c r="F17" s="124"/>
      <c r="G17" s="153" t="s">
        <v>81</v>
      </c>
      <c r="H17" s="124"/>
      <c r="I17" s="156" t="s">
        <v>82</v>
      </c>
      <c r="J17" s="157" t="s">
        <v>83</v>
      </c>
      <c r="K17" s="157"/>
      <c r="L17" s="157"/>
      <c r="M17" s="124"/>
      <c r="N17" s="124"/>
      <c r="O17" s="124"/>
      <c r="P17" s="124"/>
      <c r="Q17" s="124"/>
      <c r="R17" s="124"/>
      <c r="S17" s="124"/>
      <c r="T17" s="124"/>
    </row>
    <row r="18" spans="2:20" ht="18" customHeight="1">
      <c r="B18" s="124"/>
      <c r="C18" s="124"/>
      <c r="D18" s="124"/>
      <c r="E18" s="124"/>
      <c r="F18" s="124"/>
      <c r="G18" s="124"/>
      <c r="H18" s="124"/>
      <c r="I18" s="124"/>
      <c r="J18" s="125" t="s">
        <v>83</v>
      </c>
      <c r="K18" s="125"/>
      <c r="L18" s="125"/>
      <c r="M18" s="158" t="s">
        <v>84</v>
      </c>
      <c r="N18" s="124" t="s">
        <v>85</v>
      </c>
      <c r="O18" s="124"/>
      <c r="P18" s="124"/>
      <c r="Q18" s="124"/>
      <c r="R18" s="124"/>
      <c r="S18" s="124"/>
      <c r="T18" s="124"/>
    </row>
    <row r="19" spans="2:20" ht="18" customHeight="1">
      <c r="B19" s="124"/>
      <c r="C19" s="124"/>
      <c r="D19" s="124"/>
      <c r="E19" s="124"/>
      <c r="F19" s="124"/>
      <c r="G19" s="159" t="s">
        <v>86</v>
      </c>
      <c r="H19" s="124"/>
      <c r="I19" s="124"/>
      <c r="J19" s="154"/>
      <c r="K19" s="154"/>
      <c r="L19" s="151" t="s">
        <v>23</v>
      </c>
      <c r="M19" s="124" t="s">
        <v>87</v>
      </c>
      <c r="N19" s="124"/>
      <c r="O19" s="124"/>
      <c r="P19" s="124"/>
      <c r="Q19" s="124"/>
      <c r="R19" s="124"/>
      <c r="S19" s="124"/>
      <c r="T19" s="124"/>
    </row>
    <row r="20" ht="18" customHeight="1">
      <c r="N20" s="160"/>
    </row>
    <row r="21" ht="15" customHeight="1"/>
    <row r="22" ht="15" customHeight="1"/>
    <row r="23" ht="15" customHeight="1"/>
    <row r="24" ht="15" customHeight="1"/>
    <row r="25" spans="16:20" ht="15" customHeight="1">
      <c r="P25" s="117"/>
      <c r="Q25" s="117"/>
      <c r="R25" s="117"/>
      <c r="S25" s="117"/>
      <c r="T25" s="117"/>
    </row>
    <row r="26" spans="1:20" ht="15" customHeight="1">
      <c r="A26" s="118"/>
      <c r="B26" s="119"/>
      <c r="C26" s="119"/>
      <c r="D26" s="119"/>
      <c r="E26" s="119"/>
      <c r="F26" s="119"/>
      <c r="G26" s="120"/>
      <c r="H26" s="121"/>
      <c r="I26" s="119"/>
      <c r="J26" s="119"/>
      <c r="K26" s="119"/>
      <c r="L26" s="119"/>
      <c r="M26" s="119"/>
      <c r="N26" s="121"/>
      <c r="O26" s="121"/>
      <c r="P26" s="119"/>
      <c r="Q26" s="119"/>
      <c r="R26" s="119"/>
      <c r="S26" s="119"/>
      <c r="T26" s="119"/>
    </row>
    <row r="27" spans="2:20" ht="18" customHeight="1">
      <c r="B27" s="122" t="s">
        <v>60</v>
      </c>
      <c r="C27" s="122"/>
      <c r="D27" s="122"/>
      <c r="E27" s="122"/>
      <c r="F27" s="122"/>
      <c r="G27" s="123" t="s">
        <v>61</v>
      </c>
      <c r="H27" s="123"/>
      <c r="I27" s="122" t="s">
        <v>62</v>
      </c>
      <c r="J27" s="122"/>
      <c r="K27" s="122"/>
      <c r="L27" s="122"/>
      <c r="M27" s="122"/>
      <c r="N27" s="123" t="s">
        <v>63</v>
      </c>
      <c r="O27" s="123"/>
      <c r="P27" s="122" t="s">
        <v>64</v>
      </c>
      <c r="Q27" s="122"/>
      <c r="R27" s="122"/>
      <c r="S27" s="122"/>
      <c r="T27" s="122"/>
    </row>
    <row r="28" spans="2:20" ht="18" customHeight="1"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</row>
    <row r="29" spans="2:21" ht="18" customHeight="1">
      <c r="B29" s="124"/>
      <c r="C29" s="125" t="s">
        <v>19</v>
      </c>
      <c r="D29" s="125"/>
      <c r="E29" s="125"/>
      <c r="F29" s="125" t="s">
        <v>65</v>
      </c>
      <c r="G29" s="125"/>
      <c r="H29" s="125" t="s">
        <v>66</v>
      </c>
      <c r="I29" s="125"/>
      <c r="J29" s="125" t="s">
        <v>67</v>
      </c>
      <c r="K29" s="125"/>
      <c r="L29" s="124"/>
      <c r="M29" s="125" t="s">
        <v>19</v>
      </c>
      <c r="N29" s="125"/>
      <c r="O29" s="125" t="s">
        <v>65</v>
      </c>
      <c r="P29" s="125"/>
      <c r="Q29" s="125" t="s">
        <v>66</v>
      </c>
      <c r="R29" s="125"/>
      <c r="S29" s="125"/>
      <c r="T29" s="125" t="s">
        <v>67</v>
      </c>
      <c r="U29" s="125"/>
    </row>
    <row r="30" spans="2:20" ht="18" customHeight="1">
      <c r="B30" s="124"/>
      <c r="C30" s="126">
        <f>'NAV(V)'!O8</f>
      </c>
      <c r="D30" s="126"/>
      <c r="E30" s="126"/>
      <c r="F30" s="127">
        <f>IF('NAV(V)'!V1=0,"",'NAV(V)'!V1)</f>
      </c>
      <c r="G30" s="127"/>
      <c r="H30" s="128">
        <f>IF(J30=0,15,"")</f>
        <v>15</v>
      </c>
      <c r="I30" s="128"/>
      <c r="J30" s="129"/>
      <c r="K30" s="124"/>
      <c r="L30" s="124"/>
      <c r="M30" s="128"/>
      <c r="N30" s="128"/>
      <c r="O30" s="128"/>
      <c r="P30" s="128"/>
      <c r="Q30" s="128"/>
      <c r="R30" s="128"/>
      <c r="S30" s="128"/>
      <c r="T30" s="161"/>
    </row>
    <row r="31" spans="2:20" ht="18" customHeight="1">
      <c r="B31" s="124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</row>
    <row r="32" spans="2:20" ht="18" customHeight="1">
      <c r="B32" s="124"/>
      <c r="C32" s="125" t="s">
        <v>68</v>
      </c>
      <c r="D32" s="125"/>
      <c r="E32" s="125"/>
      <c r="F32" s="125" t="s">
        <v>69</v>
      </c>
      <c r="G32" s="125"/>
      <c r="H32" s="125" t="s">
        <v>70</v>
      </c>
      <c r="I32" s="125"/>
      <c r="J32" s="124"/>
      <c r="K32" s="124"/>
      <c r="L32" s="124"/>
      <c r="M32" s="125" t="s">
        <v>69</v>
      </c>
      <c r="N32" s="125"/>
      <c r="O32" s="125" t="s">
        <v>70</v>
      </c>
      <c r="P32" s="125"/>
      <c r="Q32" s="125" t="s">
        <v>68</v>
      </c>
      <c r="R32" s="125"/>
      <c r="S32" s="125"/>
      <c r="T32" s="124"/>
    </row>
    <row r="33" spans="2:20" ht="18" customHeight="1">
      <c r="B33" s="131" t="s">
        <v>71</v>
      </c>
      <c r="C33" s="132" t="s">
        <v>72</v>
      </c>
      <c r="D33" s="133">
        <f>IF(C30="","",ROUND(D35*LOOKUP(F30,'NAV(V)'!AI4:'NAV(V)'!AI29,'NAV(V)'!AM4:'NAV(V)'!AM29),4))</f>
      </c>
      <c r="E33" s="134" t="s">
        <v>23</v>
      </c>
      <c r="F33" s="135">
        <f>IF(C30="","",(ROUND('NAV(V)'!AX7,0))/24/60)</f>
      </c>
      <c r="G33" s="135"/>
      <c r="H33" s="136">
        <f>IF(C30="","",ROUNDUP('NAV(V)'!AX6+IF(J30=0,'NAV(V)'!AX11+'NAV(V)'!AX12,'NAV(V)'!AX12+J30*45/60),0))</f>
      </c>
      <c r="I33" s="137" t="s">
        <v>23</v>
      </c>
      <c r="J33" s="125" t="s">
        <v>73</v>
      </c>
      <c r="K33" s="125"/>
      <c r="L33" s="125"/>
      <c r="M33" s="135">
        <f>IF(M30=0,"",(ROUNDUP(LOOKUP(O30,'NAV(V)'!AI4:'NAV(V)'!AI29,'NAV(V)'!AJ4:'NAV(V)'!AJ29)+LOOKUP(O30-Q30,'NAV(V)'!AI4:'NAV(V)'!AI29,'NAV(V)'!AO4:'NAV(V)'!AO29)+(M30-LOOKUP(O30,'NAV(V)'!AI4:'NAV(V)'!AI29,'NAV(V)'!AK4:'NAV(V)'!AK29)-LOOKUP(O30-Q30,'NAV(V)'!AI4:'NAV(V)'!AI29,'NAV(V)'!AP4:'NAV(V)'!AP29))/LOOKUP(O30,'NAV(V)'!AI4:'NAV(V)'!AI29,'NAV(V)'!AN4:'NAV(V)'!AN29),0))/24/60)</f>
      </c>
      <c r="N33" s="135"/>
      <c r="O33" s="136">
        <f>IF(M30=0,"",ROUND(LOOKUP(O30,'NAV(V)'!AI4:'NAV(V)'!AI29,'NAV(V)'!AL4:'NAV(V)'!AL29)+LOOKUP(O30-Q30,'NAV(V)'!AI4:'NAV(V)'!AI29,'NAV(V)'!AQ4:'NAV(V)'!AQ29)+LOOKUP(O30,'NAV(V)'!AI4:'NAV(V)'!AI29,'NAV(V)'!AM4:'NAV(V)'!AM29)*(M30-LOOKUP(O30,'NAV(V)'!AI4:'NAV(V)'!AI29,'NAV(V)'!AK4:'NAV(V)'!AK29)-LOOKUP(O30-Q30,'NAV(V)'!AI4:'NAV(V)'!AI29,'NAV(V)'!AP4:'NAV(V)'!AP29))/LOOKUP(O30,'NAV(V)'!AI4:'NAV(V)'!AI29,'NAV(V)'!AN4:'NAV(V)'!AN29)+T30*22/60,0))</f>
      </c>
      <c r="P33" s="138" t="s">
        <v>23</v>
      </c>
      <c r="Q33" s="132" t="s">
        <v>72</v>
      </c>
      <c r="R33" s="140">
        <f>IF(M30=0,"",ROUND(R35*LOOKUP(O30,'NAV(V)'!AI4:'NAV(V)'!AI29,'NAV(V)'!AM4:'NAV(V)'!AM29),1))</f>
      </c>
      <c r="S33" s="134" t="s">
        <v>23</v>
      </c>
      <c r="T33" s="162" t="s">
        <v>71</v>
      </c>
    </row>
    <row r="34" spans="2:20" ht="18" customHeight="1">
      <c r="B34" s="131"/>
      <c r="C34" s="132" t="s">
        <v>74</v>
      </c>
      <c r="D34" s="133">
        <f>IF(C30="","",ROUND(D36*LOOKUP(F30,'NAV(V)'!AI4:'NAV(V)'!AI29,'NAV(V)'!AM4:'NAV(V)'!AM29),1))</f>
      </c>
      <c r="E34" s="134" t="s">
        <v>23</v>
      </c>
      <c r="F34" s="125"/>
      <c r="G34" s="125"/>
      <c r="H34" s="125"/>
      <c r="I34" s="125"/>
      <c r="J34" s="125"/>
      <c r="K34" s="144"/>
      <c r="L34" s="125"/>
      <c r="M34" s="125"/>
      <c r="N34" s="125"/>
      <c r="O34" s="125"/>
      <c r="P34" s="125"/>
      <c r="Q34" s="149" t="s">
        <v>74</v>
      </c>
      <c r="R34" s="145">
        <f>IF(M30=0,"",ROUND(R36*LOOKUP(O30,'NAV(V)'!AI4:'NAV(V)'!AI29,'NAV(V)'!AM4:'NAV(V)'!AM29),1))</f>
      </c>
      <c r="S34" s="163" t="s">
        <v>23</v>
      </c>
      <c r="T34" s="162"/>
    </row>
    <row r="35" spans="2:20" ht="18" customHeight="1">
      <c r="B35" s="131" t="s">
        <v>69</v>
      </c>
      <c r="C35" s="132" t="s">
        <v>72</v>
      </c>
      <c r="D35" s="133">
        <f>IF(C30="","",ROUNDUP((C30/('NAV(V)'!AX8-10))*60-'NAV(V)'!AX7,1))</f>
      </c>
      <c r="E35" s="146" t="s">
        <v>16</v>
      </c>
      <c r="F35" s="147" t="s">
        <v>16</v>
      </c>
      <c r="G35" s="147"/>
      <c r="H35" s="147" t="s">
        <v>23</v>
      </c>
      <c r="I35" s="147"/>
      <c r="J35" s="125" t="s">
        <v>75</v>
      </c>
      <c r="K35" s="125"/>
      <c r="L35" s="125"/>
      <c r="M35" s="147" t="s">
        <v>16</v>
      </c>
      <c r="N35" s="147"/>
      <c r="O35" s="148" t="s">
        <v>76</v>
      </c>
      <c r="P35" s="148"/>
      <c r="Q35" s="132" t="s">
        <v>72</v>
      </c>
      <c r="R35" s="125">
        <f>IF(M30=0,"",ROUNDUP(60*(M30/((M30/(M33*24*60))*60-10))-(M33*24*60),1))</f>
      </c>
      <c r="S35" s="146" t="s">
        <v>16</v>
      </c>
      <c r="T35" s="162" t="s">
        <v>69</v>
      </c>
    </row>
    <row r="36" spans="2:20" ht="18" customHeight="1">
      <c r="B36" s="131"/>
      <c r="C36" s="132" t="s">
        <v>74</v>
      </c>
      <c r="D36" s="133">
        <f>IF(C30="","",ROUNDDOWN(ABS((C30/('NAV(V)'!AX8+10))*60-'NAV(V)'!AX7),1))</f>
      </c>
      <c r="E36" s="146" t="s">
        <v>16</v>
      </c>
      <c r="F36" s="136"/>
      <c r="G36" s="151"/>
      <c r="H36" s="136"/>
      <c r="I36" s="137" t="s">
        <v>23</v>
      </c>
      <c r="J36" s="164" t="s">
        <v>88</v>
      </c>
      <c r="K36" s="164"/>
      <c r="L36" s="164"/>
      <c r="M36" s="136"/>
      <c r="N36" s="151"/>
      <c r="O36" s="136"/>
      <c r="P36" s="151" t="s">
        <v>23</v>
      </c>
      <c r="Q36" s="165" t="s">
        <v>74</v>
      </c>
      <c r="R36" s="145">
        <f>IF(M30=0,"",ABS(ROUNDDOWN(60*(M30/((M30/(M33*24*60))*60+10))-(M33*24*60),1)))</f>
      </c>
      <c r="S36" s="166" t="s">
        <v>16</v>
      </c>
      <c r="T36" s="162"/>
    </row>
    <row r="37" spans="2:20" ht="18" customHeight="1">
      <c r="B37" s="124"/>
      <c r="C37" s="124"/>
      <c r="D37" s="124"/>
      <c r="E37" s="124"/>
      <c r="F37" s="124"/>
      <c r="G37" s="124"/>
      <c r="H37" s="124"/>
      <c r="I37" s="124"/>
      <c r="J37" s="125" t="s">
        <v>78</v>
      </c>
      <c r="K37" s="125"/>
      <c r="L37" s="125"/>
      <c r="M37" s="124"/>
      <c r="N37" s="124"/>
      <c r="O37" s="124"/>
      <c r="P37" s="124"/>
      <c r="Q37" s="124"/>
      <c r="R37" s="124"/>
      <c r="S37" s="124"/>
      <c r="T37" s="124"/>
    </row>
    <row r="38" spans="2:20" ht="18" customHeight="1">
      <c r="B38" s="124"/>
      <c r="C38" s="124"/>
      <c r="D38" s="124" t="s">
        <v>79</v>
      </c>
      <c r="F38" s="124"/>
      <c r="G38" s="124"/>
      <c r="H38" s="153"/>
      <c r="I38" s="153"/>
      <c r="J38" s="154">
        <f>IF(C30="","",H33+O38)</f>
      </c>
      <c r="K38" s="154"/>
      <c r="L38" s="151" t="s">
        <v>23</v>
      </c>
      <c r="M38" s="124"/>
      <c r="N38" s="124"/>
      <c r="O38" s="136">
        <f>IF(C30="","",IF(M30=0,45*22/60,O33+45*22/60))</f>
      </c>
      <c r="P38" s="151" t="s">
        <v>23</v>
      </c>
      <c r="Q38" s="155" t="s">
        <v>80</v>
      </c>
      <c r="R38" s="155"/>
      <c r="S38" s="155"/>
      <c r="T38" s="124"/>
    </row>
    <row r="39" spans="2:20" ht="18" customHeight="1">
      <c r="B39" s="124"/>
      <c r="C39" s="124"/>
      <c r="D39" s="124"/>
      <c r="E39" s="124"/>
      <c r="F39" s="124"/>
      <c r="G39" s="153" t="s">
        <v>81</v>
      </c>
      <c r="H39" s="124"/>
      <c r="I39" s="156" t="s">
        <v>82</v>
      </c>
      <c r="J39" s="157" t="s">
        <v>83</v>
      </c>
      <c r="K39" s="157"/>
      <c r="L39" s="157"/>
      <c r="M39" s="124"/>
      <c r="N39" s="124"/>
      <c r="O39" s="124"/>
      <c r="P39" s="124"/>
      <c r="Q39" s="124"/>
      <c r="R39" s="124"/>
      <c r="S39" s="124"/>
      <c r="T39" s="124"/>
    </row>
    <row r="40" spans="2:20" ht="18" customHeight="1">
      <c r="B40" s="124"/>
      <c r="C40" s="124"/>
      <c r="D40" s="124"/>
      <c r="E40" s="124"/>
      <c r="F40" s="124"/>
      <c r="G40" s="124"/>
      <c r="H40" s="124"/>
      <c r="I40" s="124"/>
      <c r="J40" s="125" t="s">
        <v>83</v>
      </c>
      <c r="K40" s="125"/>
      <c r="L40" s="125"/>
      <c r="M40" s="158" t="s">
        <v>84</v>
      </c>
      <c r="N40" s="124" t="s">
        <v>85</v>
      </c>
      <c r="O40" s="124"/>
      <c r="P40" s="124"/>
      <c r="Q40" s="124"/>
      <c r="R40" s="124"/>
      <c r="S40" s="124"/>
      <c r="T40" s="124"/>
    </row>
    <row r="41" spans="2:20" ht="18" customHeight="1">
      <c r="B41" s="124"/>
      <c r="C41" s="124"/>
      <c r="D41" s="124"/>
      <c r="E41" s="124"/>
      <c r="F41" s="124"/>
      <c r="G41" s="159" t="s">
        <v>86</v>
      </c>
      <c r="H41" s="124"/>
      <c r="I41" s="124"/>
      <c r="J41" s="154"/>
      <c r="K41" s="167"/>
      <c r="L41" s="151" t="s">
        <v>23</v>
      </c>
      <c r="M41" s="124" t="s">
        <v>87</v>
      </c>
      <c r="N41" s="124"/>
      <c r="O41" s="124"/>
      <c r="P41" s="124"/>
      <c r="Q41" s="124"/>
      <c r="R41" s="124"/>
      <c r="S41" s="124"/>
      <c r="T41" s="124"/>
    </row>
    <row r="42" ht="18" customHeight="1">
      <c r="N42" s="160"/>
    </row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</sheetData>
  <sheetProtection sheet="1"/>
  <mergeCells count="95">
    <mergeCell ref="P3:T3"/>
    <mergeCell ref="B4:F4"/>
    <mergeCell ref="I4:M4"/>
    <mergeCell ref="P4:T4"/>
    <mergeCell ref="B5:F5"/>
    <mergeCell ref="G5:H5"/>
    <mergeCell ref="I5:M5"/>
    <mergeCell ref="N5:O5"/>
    <mergeCell ref="P5:T5"/>
    <mergeCell ref="C7:E7"/>
    <mergeCell ref="F7:G7"/>
    <mergeCell ref="H7:I7"/>
    <mergeCell ref="J7:K7"/>
    <mergeCell ref="M7:N7"/>
    <mergeCell ref="O7:P7"/>
    <mergeCell ref="Q7:S7"/>
    <mergeCell ref="T7:U7"/>
    <mergeCell ref="C8:E8"/>
    <mergeCell ref="F8:G8"/>
    <mergeCell ref="H8:I8"/>
    <mergeCell ref="M8:N8"/>
    <mergeCell ref="O8:P8"/>
    <mergeCell ref="Q8:S8"/>
    <mergeCell ref="C10:E10"/>
    <mergeCell ref="F10:G10"/>
    <mergeCell ref="H10:I10"/>
    <mergeCell ref="M10:N10"/>
    <mergeCell ref="O10:P10"/>
    <mergeCell ref="Q10:S10"/>
    <mergeCell ref="B11:B12"/>
    <mergeCell ref="F11:G11"/>
    <mergeCell ref="J11:L11"/>
    <mergeCell ref="M11:N11"/>
    <mergeCell ref="T11:T12"/>
    <mergeCell ref="B13:B14"/>
    <mergeCell ref="F13:G13"/>
    <mergeCell ref="H13:I13"/>
    <mergeCell ref="J13:L13"/>
    <mergeCell ref="M13:N13"/>
    <mergeCell ref="O13:P13"/>
    <mergeCell ref="T13:T14"/>
    <mergeCell ref="J14:K14"/>
    <mergeCell ref="J15:L15"/>
    <mergeCell ref="J16:K16"/>
    <mergeCell ref="Q16:S16"/>
    <mergeCell ref="J17:L17"/>
    <mergeCell ref="J18:L18"/>
    <mergeCell ref="J19:K19"/>
    <mergeCell ref="P25:T25"/>
    <mergeCell ref="B26:F26"/>
    <mergeCell ref="I26:M26"/>
    <mergeCell ref="P26:T26"/>
    <mergeCell ref="B27:F27"/>
    <mergeCell ref="G27:H27"/>
    <mergeCell ref="I27:M27"/>
    <mergeCell ref="N27:O27"/>
    <mergeCell ref="P27:T27"/>
    <mergeCell ref="C29:E29"/>
    <mergeCell ref="F29:G29"/>
    <mergeCell ref="H29:I29"/>
    <mergeCell ref="J29:K29"/>
    <mergeCell ref="M29:N29"/>
    <mergeCell ref="O29:P29"/>
    <mergeCell ref="Q29:S29"/>
    <mergeCell ref="T29:U29"/>
    <mergeCell ref="C30:E30"/>
    <mergeCell ref="F30:G30"/>
    <mergeCell ref="H30:I30"/>
    <mergeCell ref="M30:N30"/>
    <mergeCell ref="O30:P30"/>
    <mergeCell ref="Q30:S30"/>
    <mergeCell ref="C32:E32"/>
    <mergeCell ref="F32:G32"/>
    <mergeCell ref="H32:I32"/>
    <mergeCell ref="M32:N32"/>
    <mergeCell ref="O32:P32"/>
    <mergeCell ref="Q32:S32"/>
    <mergeCell ref="B33:B34"/>
    <mergeCell ref="F33:G33"/>
    <mergeCell ref="J33:L33"/>
    <mergeCell ref="M33:N33"/>
    <mergeCell ref="T33:T34"/>
    <mergeCell ref="B35:B36"/>
    <mergeCell ref="F35:G35"/>
    <mergeCell ref="H35:I35"/>
    <mergeCell ref="J35:L35"/>
    <mergeCell ref="M35:N35"/>
    <mergeCell ref="O35:P35"/>
    <mergeCell ref="T35:T36"/>
    <mergeCell ref="J36:L36"/>
    <mergeCell ref="J37:L37"/>
    <mergeCell ref="J38:K38"/>
    <mergeCell ref="Q38:S38"/>
    <mergeCell ref="J39:L39"/>
    <mergeCell ref="J40:L40"/>
  </mergeCells>
  <printOptions/>
  <pageMargins left="0" right="0" top="0.07847222222222222" bottom="0" header="0.5118055555555555" footer="0.5118055555555555"/>
  <pageSetup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63"/>
  <sheetViews>
    <sheetView zoomScale="45" zoomScaleNormal="45" workbookViewId="0" topLeftCell="A13">
      <selection activeCell="AP54" sqref="AP54"/>
    </sheetView>
  </sheetViews>
  <sheetFormatPr defaultColWidth="3.421875" defaultRowHeight="14.25" customHeight="1"/>
  <cols>
    <col min="1" max="16384" width="2.57421875" style="168" customWidth="1"/>
  </cols>
  <sheetData>
    <row r="1" spans="1:38" ht="12" customHeight="1">
      <c r="A1" s="169" t="s">
        <v>89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</row>
    <row r="2" spans="1:38" ht="12" customHeight="1">
      <c r="A2" s="170" t="s">
        <v>90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170"/>
      <c r="AJ2" s="170"/>
      <c r="AK2" s="170"/>
      <c r="AL2" s="170"/>
    </row>
    <row r="3" spans="1:38" ht="14.25" customHeight="1">
      <c r="A3" s="171"/>
      <c r="B3" s="172" t="s">
        <v>91</v>
      </c>
      <c r="C3" s="172"/>
      <c r="D3" s="172"/>
      <c r="E3" s="173"/>
      <c r="F3" s="173"/>
      <c r="G3" s="172" t="s">
        <v>92</v>
      </c>
      <c r="H3" s="174"/>
      <c r="I3" s="174"/>
      <c r="J3" s="174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173"/>
      <c r="AE3" s="173"/>
      <c r="AF3" s="173"/>
      <c r="AG3" s="173"/>
      <c r="AH3" s="173"/>
      <c r="AI3" s="173"/>
      <c r="AJ3" s="173"/>
      <c r="AK3" s="173"/>
      <c r="AL3" s="175"/>
    </row>
    <row r="4" spans="1:38" ht="14.25" customHeight="1">
      <c r="A4" s="176" t="s">
        <v>93</v>
      </c>
      <c r="B4" s="177"/>
      <c r="C4" s="173"/>
      <c r="D4" s="178" t="s">
        <v>94</v>
      </c>
      <c r="E4" s="173"/>
      <c r="F4" s="173"/>
      <c r="G4" s="179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  <c r="AA4" s="180"/>
      <c r="AB4" s="180"/>
      <c r="AC4" s="180"/>
      <c r="AD4" s="180"/>
      <c r="AE4" s="180"/>
      <c r="AF4" s="180"/>
      <c r="AG4" s="180"/>
      <c r="AH4" s="180"/>
      <c r="AI4" s="180"/>
      <c r="AJ4" s="180"/>
      <c r="AK4" s="180"/>
      <c r="AL4" s="181"/>
    </row>
    <row r="5" spans="1:38" ht="14.25" customHeight="1">
      <c r="A5" s="171"/>
      <c r="B5" s="173"/>
      <c r="C5" s="173"/>
      <c r="D5" s="173"/>
      <c r="E5" s="173"/>
      <c r="F5" s="173"/>
      <c r="G5" s="182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3"/>
      <c r="Z5" s="183"/>
      <c r="AA5" s="183"/>
      <c r="AB5" s="183"/>
      <c r="AC5" s="183"/>
      <c r="AD5" s="183"/>
      <c r="AE5" s="183"/>
      <c r="AF5" s="183"/>
      <c r="AG5" s="183"/>
      <c r="AH5" s="183"/>
      <c r="AI5" s="183"/>
      <c r="AJ5" s="183"/>
      <c r="AK5" s="183"/>
      <c r="AL5" s="184"/>
    </row>
    <row r="6" spans="1:38" ht="14.25" customHeight="1">
      <c r="A6" s="171"/>
      <c r="B6" s="173"/>
      <c r="C6" s="173"/>
      <c r="D6" s="173"/>
      <c r="E6" s="173"/>
      <c r="F6" s="173"/>
      <c r="G6" s="182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83"/>
      <c r="Z6" s="183"/>
      <c r="AA6" s="183"/>
      <c r="AB6" s="183"/>
      <c r="AC6" s="183"/>
      <c r="AD6" s="183"/>
      <c r="AE6" s="183"/>
      <c r="AF6" s="183"/>
      <c r="AG6" s="183"/>
      <c r="AH6" s="183"/>
      <c r="AI6" s="185"/>
      <c r="AJ6" s="176" t="s">
        <v>93</v>
      </c>
      <c r="AK6" s="177"/>
      <c r="AL6" s="181"/>
    </row>
    <row r="7" spans="1:38" ht="14.25" customHeight="1">
      <c r="A7" s="171"/>
      <c r="B7" s="172" t="s">
        <v>95</v>
      </c>
      <c r="C7" s="174"/>
      <c r="D7" s="186"/>
      <c r="E7" s="174"/>
      <c r="F7" s="173"/>
      <c r="G7" s="173"/>
      <c r="H7" s="187" t="s">
        <v>96</v>
      </c>
      <c r="I7" s="187"/>
      <c r="J7" s="187"/>
      <c r="K7" s="187"/>
      <c r="L7" s="187"/>
      <c r="M7" s="187"/>
      <c r="N7" s="187"/>
      <c r="O7" s="187"/>
      <c r="P7" s="173"/>
      <c r="Q7" s="180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173"/>
      <c r="AH7" s="173"/>
      <c r="AI7" s="173"/>
      <c r="AJ7" s="173"/>
      <c r="AK7" s="173"/>
      <c r="AL7" s="175"/>
    </row>
    <row r="8" spans="1:38" ht="14.25" customHeight="1">
      <c r="A8" s="188"/>
      <c r="B8" s="185"/>
      <c r="C8" s="182"/>
      <c r="D8" s="183"/>
      <c r="E8" s="183"/>
      <c r="F8" s="185"/>
      <c r="G8" s="173"/>
      <c r="H8" s="182"/>
      <c r="I8" s="183"/>
      <c r="J8" s="183"/>
      <c r="K8" s="183"/>
      <c r="L8" s="183"/>
      <c r="M8" s="183"/>
      <c r="N8" s="183"/>
      <c r="O8" s="185"/>
      <c r="P8" s="176" t="s">
        <v>93</v>
      </c>
      <c r="Q8" s="177"/>
      <c r="R8" s="173"/>
      <c r="S8" s="173"/>
      <c r="T8" s="173"/>
      <c r="U8" s="173"/>
      <c r="V8" s="173"/>
      <c r="W8" s="173"/>
      <c r="X8" s="173"/>
      <c r="Y8" s="173"/>
      <c r="Z8" s="173"/>
      <c r="AA8" s="173"/>
      <c r="AB8" s="173"/>
      <c r="AC8" s="173"/>
      <c r="AD8" s="173"/>
      <c r="AE8" s="173"/>
      <c r="AF8" s="173"/>
      <c r="AG8" s="173"/>
      <c r="AH8" s="173"/>
      <c r="AI8" s="173"/>
      <c r="AJ8" s="173"/>
      <c r="AK8" s="173"/>
      <c r="AL8" s="175"/>
    </row>
    <row r="9" spans="1:38" ht="14.25" customHeight="1">
      <c r="A9" s="171"/>
      <c r="B9" s="172" t="s">
        <v>97</v>
      </c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73"/>
      <c r="AI9" s="173"/>
      <c r="AJ9" s="173"/>
      <c r="AK9" s="173"/>
      <c r="AL9" s="175"/>
    </row>
    <row r="10" spans="1:38" ht="14.25" customHeight="1">
      <c r="A10" s="189"/>
      <c r="B10" s="190"/>
      <c r="C10" s="190"/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N10" s="190"/>
      <c r="O10" s="190"/>
      <c r="P10" s="190"/>
      <c r="Q10" s="190"/>
      <c r="R10" s="190"/>
      <c r="S10" s="190"/>
      <c r="T10" s="190"/>
      <c r="U10" s="190"/>
      <c r="V10" s="190"/>
      <c r="W10" s="190"/>
      <c r="X10" s="190"/>
      <c r="Y10" s="190"/>
      <c r="Z10" s="190"/>
      <c r="AA10" s="190"/>
      <c r="AB10" s="190"/>
      <c r="AC10" s="190"/>
      <c r="AD10" s="190"/>
      <c r="AE10" s="190"/>
      <c r="AF10" s="190"/>
      <c r="AG10" s="190"/>
      <c r="AH10" s="190"/>
      <c r="AI10" s="190"/>
      <c r="AJ10" s="190"/>
      <c r="AK10" s="190"/>
      <c r="AL10" s="191"/>
    </row>
    <row r="11" spans="1:38" ht="14.25" customHeight="1">
      <c r="A11" s="192">
        <v>3</v>
      </c>
      <c r="B11" s="193" t="s">
        <v>98</v>
      </c>
      <c r="C11" s="193"/>
      <c r="D11" s="193"/>
      <c r="E11" s="193"/>
      <c r="F11" s="194"/>
      <c r="G11" s="194"/>
      <c r="H11" s="194"/>
      <c r="I11" s="194"/>
      <c r="J11" s="195"/>
      <c r="K11" s="196">
        <v>7</v>
      </c>
      <c r="L11" s="193" t="s">
        <v>99</v>
      </c>
      <c r="M11" s="193"/>
      <c r="N11" s="193"/>
      <c r="O11" s="193"/>
      <c r="P11" s="193"/>
      <c r="Q11" s="193"/>
      <c r="R11" s="194"/>
      <c r="S11" s="194"/>
      <c r="T11" s="194"/>
      <c r="U11" s="194"/>
      <c r="V11" s="194"/>
      <c r="W11" s="194"/>
      <c r="X11" s="197"/>
      <c r="Y11" s="196">
        <v>8</v>
      </c>
      <c r="Z11" s="193" t="s">
        <v>100</v>
      </c>
      <c r="AA11" s="193"/>
      <c r="AB11" s="193"/>
      <c r="AC11" s="194"/>
      <c r="AD11" s="194"/>
      <c r="AE11" s="194"/>
      <c r="AF11" s="194"/>
      <c r="AG11" s="194"/>
      <c r="AH11" s="193" t="s">
        <v>101</v>
      </c>
      <c r="AI11" s="193"/>
      <c r="AJ11" s="193"/>
      <c r="AK11" s="193"/>
      <c r="AL11" s="198"/>
    </row>
    <row r="12" spans="1:38" ht="14.25" customHeight="1">
      <c r="A12" s="199" t="s">
        <v>93</v>
      </c>
      <c r="B12" s="200"/>
      <c r="C12" s="201"/>
      <c r="D12" s="200" t="s">
        <v>102</v>
      </c>
      <c r="E12" s="201"/>
      <c r="F12" s="201"/>
      <c r="G12" s="201"/>
      <c r="H12" s="201"/>
      <c r="I12" s="201"/>
      <c r="J12" s="202"/>
      <c r="K12" s="203" t="s">
        <v>103</v>
      </c>
      <c r="L12" s="204" t="s">
        <v>74</v>
      </c>
      <c r="M12" s="204" t="s">
        <v>104</v>
      </c>
      <c r="N12" s="204" t="s">
        <v>105</v>
      </c>
      <c r="O12" s="204" t="s">
        <v>106</v>
      </c>
      <c r="P12" s="205" t="s">
        <v>107</v>
      </c>
      <c r="Q12" s="206"/>
      <c r="R12" s="201"/>
      <c r="S12" s="201"/>
      <c r="T12" s="201"/>
      <c r="U12" s="201"/>
      <c r="V12" s="201"/>
      <c r="W12" s="201"/>
      <c r="X12" s="207"/>
      <c r="Y12" s="201"/>
      <c r="Z12" s="201"/>
      <c r="AA12" s="208" t="s">
        <v>108</v>
      </c>
      <c r="AB12" s="201"/>
      <c r="AC12" s="201"/>
      <c r="AD12" s="201"/>
      <c r="AE12" s="201"/>
      <c r="AF12" s="201"/>
      <c r="AG12" s="201"/>
      <c r="AH12" s="201"/>
      <c r="AI12" s="208" t="s">
        <v>107</v>
      </c>
      <c r="AJ12" s="200" t="s">
        <v>93</v>
      </c>
      <c r="AK12" s="200"/>
      <c r="AL12" s="209"/>
    </row>
    <row r="13" spans="1:38" ht="6" customHeight="1">
      <c r="A13" s="210"/>
      <c r="B13" s="211"/>
      <c r="C13" s="212"/>
      <c r="D13" s="211"/>
      <c r="E13" s="212"/>
      <c r="F13" s="212"/>
      <c r="G13" s="212"/>
      <c r="H13" s="212"/>
      <c r="I13" s="212"/>
      <c r="J13" s="213"/>
      <c r="K13" s="214"/>
      <c r="L13" s="214"/>
      <c r="M13" s="214"/>
      <c r="N13" s="214"/>
      <c r="O13" s="214"/>
      <c r="P13" s="214"/>
      <c r="Q13" s="214"/>
      <c r="R13" s="212"/>
      <c r="S13" s="212"/>
      <c r="T13" s="212"/>
      <c r="U13" s="212"/>
      <c r="V13" s="212"/>
      <c r="W13" s="212"/>
      <c r="X13" s="215"/>
      <c r="Y13" s="212"/>
      <c r="Z13" s="212"/>
      <c r="AA13" s="216"/>
      <c r="AB13" s="212"/>
      <c r="AC13" s="212"/>
      <c r="AD13" s="212"/>
      <c r="AE13" s="212"/>
      <c r="AF13" s="212"/>
      <c r="AG13" s="212"/>
      <c r="AH13" s="212"/>
      <c r="AI13" s="217"/>
      <c r="AJ13" s="211"/>
      <c r="AK13" s="211"/>
      <c r="AL13" s="218"/>
    </row>
    <row r="14" spans="1:38" ht="14.25" customHeight="1">
      <c r="A14" s="192">
        <v>9</v>
      </c>
      <c r="B14" s="193" t="s">
        <v>109</v>
      </c>
      <c r="C14" s="194"/>
      <c r="D14" s="194"/>
      <c r="E14" s="194"/>
      <c r="F14" s="194"/>
      <c r="G14" s="194"/>
      <c r="H14" s="194"/>
      <c r="I14" s="193" t="s">
        <v>110</v>
      </c>
      <c r="J14" s="194"/>
      <c r="K14" s="194"/>
      <c r="L14" s="194"/>
      <c r="M14" s="194"/>
      <c r="N14" s="194"/>
      <c r="O14" s="194"/>
      <c r="P14" s="194"/>
      <c r="Q14" s="194"/>
      <c r="R14" s="193" t="s">
        <v>111</v>
      </c>
      <c r="S14" s="194"/>
      <c r="T14" s="194"/>
      <c r="U14" s="194"/>
      <c r="V14" s="194"/>
      <c r="W14" s="194"/>
      <c r="X14" s="194"/>
      <c r="Y14" s="194"/>
      <c r="Z14" s="219"/>
      <c r="AA14" s="202"/>
      <c r="AB14" s="220">
        <v>10</v>
      </c>
      <c r="AC14" s="172" t="s">
        <v>112</v>
      </c>
      <c r="AD14" s="201"/>
      <c r="AE14" s="201"/>
      <c r="AF14" s="201"/>
      <c r="AG14" s="201"/>
      <c r="AH14" s="201"/>
      <c r="AI14" s="201"/>
      <c r="AJ14" s="173"/>
      <c r="AK14" s="173"/>
      <c r="AL14" s="175"/>
    </row>
    <row r="15" spans="1:38" ht="14.25" customHeight="1">
      <c r="A15" s="221"/>
      <c r="B15" s="222">
        <v>1</v>
      </c>
      <c r="C15" s="222"/>
      <c r="D15" s="201"/>
      <c r="E15" s="201"/>
      <c r="F15" s="201"/>
      <c r="G15" s="201"/>
      <c r="H15" s="201"/>
      <c r="I15" s="208" t="s">
        <v>113</v>
      </c>
      <c r="J15" s="208"/>
      <c r="K15" s="208"/>
      <c r="L15" s="208"/>
      <c r="M15" s="201"/>
      <c r="N15" s="201"/>
      <c r="O15" s="201"/>
      <c r="P15" s="201"/>
      <c r="Q15" s="201"/>
      <c r="R15" s="201"/>
      <c r="S15" s="201"/>
      <c r="T15" s="200" t="s">
        <v>114</v>
      </c>
      <c r="U15" s="201"/>
      <c r="V15" s="208" t="s">
        <v>23</v>
      </c>
      <c r="W15" s="201"/>
      <c r="X15" s="201"/>
      <c r="Y15" s="201"/>
      <c r="Z15" s="207"/>
      <c r="AA15" s="202"/>
      <c r="AB15" s="201"/>
      <c r="AC15" s="201"/>
      <c r="AD15" s="223" t="s">
        <v>115</v>
      </c>
      <c r="AE15" s="223"/>
      <c r="AF15" s="223"/>
      <c r="AG15" s="223"/>
      <c r="AH15" s="223"/>
      <c r="AI15" s="223"/>
      <c r="AJ15" s="224"/>
      <c r="AK15" s="224"/>
      <c r="AL15" s="209"/>
    </row>
    <row r="16" spans="1:38" ht="5.25" customHeight="1">
      <c r="A16" s="225"/>
      <c r="B16" s="211"/>
      <c r="C16" s="211"/>
      <c r="D16" s="212"/>
      <c r="E16" s="212"/>
      <c r="F16" s="212"/>
      <c r="G16" s="212"/>
      <c r="H16" s="212"/>
      <c r="I16" s="214"/>
      <c r="J16" s="214"/>
      <c r="K16" s="214"/>
      <c r="L16" s="214"/>
      <c r="M16" s="212"/>
      <c r="N16" s="212"/>
      <c r="O16" s="212"/>
      <c r="P16" s="212"/>
      <c r="Q16" s="212"/>
      <c r="R16" s="212"/>
      <c r="S16" s="212"/>
      <c r="T16" s="211"/>
      <c r="U16" s="212"/>
      <c r="V16" s="217"/>
      <c r="W16" s="212"/>
      <c r="X16" s="212"/>
      <c r="Y16" s="212"/>
      <c r="Z16" s="215"/>
      <c r="AA16" s="202"/>
      <c r="AB16" s="201"/>
      <c r="AC16" s="201"/>
      <c r="AD16" s="226"/>
      <c r="AE16" s="226"/>
      <c r="AF16" s="226"/>
      <c r="AG16" s="226"/>
      <c r="AH16" s="226"/>
      <c r="AI16" s="226"/>
      <c r="AJ16" s="200"/>
      <c r="AK16" s="200"/>
      <c r="AL16" s="209"/>
    </row>
    <row r="17" spans="1:38" ht="14.25" customHeight="1">
      <c r="A17" s="227"/>
      <c r="B17" s="194"/>
      <c r="C17" s="194"/>
      <c r="D17" s="196">
        <v>13</v>
      </c>
      <c r="E17" s="193" t="s">
        <v>116</v>
      </c>
      <c r="F17" s="194"/>
      <c r="G17" s="194"/>
      <c r="H17" s="194"/>
      <c r="I17" s="194"/>
      <c r="J17" s="194"/>
      <c r="K17" s="194"/>
      <c r="L17" s="194"/>
      <c r="M17" s="194"/>
      <c r="N17" s="194"/>
      <c r="O17" s="193" t="s">
        <v>40</v>
      </c>
      <c r="P17" s="194"/>
      <c r="Q17" s="194"/>
      <c r="R17" s="194"/>
      <c r="S17" s="194"/>
      <c r="T17" s="194"/>
      <c r="U17" s="194"/>
      <c r="V17" s="194"/>
      <c r="W17" s="194"/>
      <c r="X17" s="194"/>
      <c r="Y17" s="194"/>
      <c r="Z17" s="197"/>
      <c r="AA17" s="202"/>
      <c r="AB17" s="201"/>
      <c r="AC17" s="201"/>
      <c r="AD17" s="201"/>
      <c r="AE17" s="201"/>
      <c r="AF17" s="201"/>
      <c r="AG17" s="201"/>
      <c r="AH17" s="201"/>
      <c r="AI17" s="201"/>
      <c r="AJ17" s="201"/>
      <c r="AK17" s="201"/>
      <c r="AL17" s="209"/>
    </row>
    <row r="18" spans="1:38" ht="14.25" customHeight="1">
      <c r="A18" s="221"/>
      <c r="B18" s="201"/>
      <c r="C18" s="201"/>
      <c r="D18" s="201"/>
      <c r="E18" s="228"/>
      <c r="F18" s="228"/>
      <c r="G18" s="228"/>
      <c r="H18" s="228"/>
      <c r="I18" s="201"/>
      <c r="J18" s="201"/>
      <c r="K18" s="201"/>
      <c r="L18" s="201"/>
      <c r="M18" s="201"/>
      <c r="N18" s="229"/>
      <c r="O18" s="229"/>
      <c r="P18" s="229"/>
      <c r="Q18" s="229"/>
      <c r="R18" s="176" t="s">
        <v>93</v>
      </c>
      <c r="S18" s="177"/>
      <c r="T18" s="173"/>
      <c r="U18" s="201"/>
      <c r="V18" s="201"/>
      <c r="W18" s="201"/>
      <c r="X18" s="201"/>
      <c r="Y18" s="201"/>
      <c r="Z18" s="207"/>
      <c r="AA18" s="202"/>
      <c r="AB18" s="201"/>
      <c r="AC18" s="200" t="s">
        <v>114</v>
      </c>
      <c r="AD18" s="222" t="s">
        <v>117</v>
      </c>
      <c r="AE18" s="222"/>
      <c r="AF18" s="222"/>
      <c r="AG18" s="222"/>
      <c r="AH18" s="222"/>
      <c r="AI18" s="222"/>
      <c r="AJ18" s="199" t="s">
        <v>93</v>
      </c>
      <c r="AK18" s="200"/>
      <c r="AL18" s="209"/>
    </row>
    <row r="19" spans="1:38" ht="6.75" customHeight="1">
      <c r="A19" s="225"/>
      <c r="B19" s="212"/>
      <c r="C19" s="212"/>
      <c r="D19" s="212"/>
      <c r="E19" s="230"/>
      <c r="F19" s="230"/>
      <c r="G19" s="230"/>
      <c r="H19" s="230"/>
      <c r="I19" s="212"/>
      <c r="J19" s="212"/>
      <c r="K19" s="212"/>
      <c r="L19" s="212"/>
      <c r="M19" s="212"/>
      <c r="N19" s="230"/>
      <c r="O19" s="230"/>
      <c r="P19" s="230"/>
      <c r="Q19" s="230"/>
      <c r="R19" s="231"/>
      <c r="S19" s="231"/>
      <c r="T19" s="232"/>
      <c r="U19" s="212"/>
      <c r="V19" s="212"/>
      <c r="W19" s="212"/>
      <c r="X19" s="212"/>
      <c r="Y19" s="212"/>
      <c r="Z19" s="215"/>
      <c r="AA19" s="202"/>
      <c r="AB19" s="201"/>
      <c r="AC19" s="200"/>
      <c r="AD19" s="226"/>
      <c r="AE19" s="226"/>
      <c r="AF19" s="226"/>
      <c r="AG19" s="226"/>
      <c r="AH19" s="226"/>
      <c r="AI19" s="226"/>
      <c r="AJ19" s="200"/>
      <c r="AK19" s="200"/>
      <c r="AL19" s="209"/>
    </row>
    <row r="20" spans="1:38" ht="14.25" customHeight="1">
      <c r="A20" s="233">
        <v>15</v>
      </c>
      <c r="B20" s="172" t="s">
        <v>118</v>
      </c>
      <c r="C20" s="201"/>
      <c r="D20" s="201"/>
      <c r="E20" s="201"/>
      <c r="F20" s="201"/>
      <c r="G20" s="201"/>
      <c r="H20" s="201"/>
      <c r="I20" s="172" t="s">
        <v>17</v>
      </c>
      <c r="J20" s="201"/>
      <c r="K20" s="201"/>
      <c r="L20" s="201"/>
      <c r="M20" s="201"/>
      <c r="N20" s="172" t="s">
        <v>39</v>
      </c>
      <c r="O20" s="201"/>
      <c r="P20" s="201"/>
      <c r="Q20" s="201"/>
      <c r="R20" s="201"/>
      <c r="S20" s="201"/>
      <c r="T20" s="201"/>
      <c r="U20" s="201"/>
      <c r="V20" s="201"/>
      <c r="W20" s="201"/>
      <c r="X20" s="201"/>
      <c r="Y20" s="201"/>
      <c r="Z20" s="201"/>
      <c r="AA20" s="190"/>
      <c r="AB20" s="190"/>
      <c r="AC20" s="190"/>
      <c r="AD20" s="190"/>
      <c r="AE20" s="190"/>
      <c r="AF20" s="190"/>
      <c r="AG20" s="190"/>
      <c r="AH20" s="190"/>
      <c r="AI20" s="190"/>
      <c r="AJ20" s="190"/>
      <c r="AK20" s="190"/>
      <c r="AL20" s="191"/>
    </row>
    <row r="21" spans="1:40" ht="14.25" customHeight="1">
      <c r="A21" s="221"/>
      <c r="B21" s="208" t="s">
        <v>119</v>
      </c>
      <c r="C21" s="208"/>
      <c r="D21" s="208"/>
      <c r="E21" s="208"/>
      <c r="F21" s="208"/>
      <c r="G21" s="201"/>
      <c r="H21" s="234" t="s">
        <v>103</v>
      </c>
      <c r="I21" s="235" t="s">
        <v>58</v>
      </c>
      <c r="J21" s="235"/>
      <c r="K21" s="235"/>
      <c r="L21" s="235"/>
      <c r="M21" s="201"/>
      <c r="N21" s="236"/>
      <c r="O21" s="236"/>
      <c r="P21" s="236"/>
      <c r="Q21" s="236"/>
      <c r="R21" s="236"/>
      <c r="S21" s="236"/>
      <c r="T21" s="236"/>
      <c r="U21" s="236"/>
      <c r="V21" s="236"/>
      <c r="W21" s="236"/>
      <c r="X21" s="236"/>
      <c r="Y21" s="236"/>
      <c r="Z21" s="236"/>
      <c r="AA21" s="236"/>
      <c r="AB21" s="236"/>
      <c r="AC21" s="236"/>
      <c r="AD21" s="236"/>
      <c r="AE21" s="236"/>
      <c r="AF21" s="236"/>
      <c r="AG21" s="236"/>
      <c r="AH21" s="236"/>
      <c r="AI21" s="236"/>
      <c r="AJ21" s="236"/>
      <c r="AK21" s="236"/>
      <c r="AL21" s="236"/>
      <c r="AN21" s="224"/>
    </row>
    <row r="22" spans="1:38" ht="14.25" customHeight="1">
      <c r="A22" s="237"/>
      <c r="B22" s="237"/>
      <c r="C22" s="237"/>
      <c r="D22" s="237"/>
      <c r="E22" s="237"/>
      <c r="F22" s="237"/>
      <c r="G22" s="237"/>
      <c r="H22" s="237"/>
      <c r="I22" s="237"/>
      <c r="J22" s="237"/>
      <c r="K22" s="237"/>
      <c r="L22" s="237"/>
      <c r="M22" s="237"/>
      <c r="N22" s="237"/>
      <c r="O22" s="237"/>
      <c r="P22" s="237"/>
      <c r="Q22" s="237"/>
      <c r="R22" s="237"/>
      <c r="S22" s="237"/>
      <c r="T22" s="237"/>
      <c r="U22" s="237"/>
      <c r="V22" s="237"/>
      <c r="W22" s="237"/>
      <c r="X22" s="237"/>
      <c r="Y22" s="237"/>
      <c r="Z22" s="237"/>
      <c r="AA22" s="237"/>
      <c r="AB22" s="237"/>
      <c r="AC22" s="237"/>
      <c r="AD22" s="237"/>
      <c r="AE22" s="237"/>
      <c r="AF22" s="237"/>
      <c r="AG22" s="237"/>
      <c r="AH22" s="237"/>
      <c r="AI22" s="237"/>
      <c r="AJ22" s="237"/>
      <c r="AK22" s="237"/>
      <c r="AL22" s="237"/>
    </row>
    <row r="23" spans="1:38" ht="14.25" customHeight="1">
      <c r="A23" s="237"/>
      <c r="B23" s="237"/>
      <c r="C23" s="237"/>
      <c r="D23" s="237"/>
      <c r="E23" s="237"/>
      <c r="F23" s="237"/>
      <c r="G23" s="237"/>
      <c r="H23" s="237"/>
      <c r="I23" s="237"/>
      <c r="J23" s="237"/>
      <c r="K23" s="237"/>
      <c r="L23" s="237"/>
      <c r="M23" s="237"/>
      <c r="N23" s="237"/>
      <c r="O23" s="237"/>
      <c r="P23" s="237"/>
      <c r="Q23" s="237"/>
      <c r="R23" s="237"/>
      <c r="S23" s="237"/>
      <c r="T23" s="237"/>
      <c r="U23" s="237"/>
      <c r="V23" s="237"/>
      <c r="W23" s="237"/>
      <c r="X23" s="237"/>
      <c r="Y23" s="237"/>
      <c r="Z23" s="237"/>
      <c r="AA23" s="237"/>
      <c r="AB23" s="237"/>
      <c r="AC23" s="237"/>
      <c r="AD23" s="237"/>
      <c r="AE23" s="237"/>
      <c r="AF23" s="237"/>
      <c r="AG23" s="237"/>
      <c r="AH23" s="237"/>
      <c r="AI23" s="237"/>
      <c r="AJ23" s="237"/>
      <c r="AK23" s="237"/>
      <c r="AL23" s="237"/>
    </row>
    <row r="24" spans="1:38" ht="14.25" customHeight="1">
      <c r="A24" s="237"/>
      <c r="B24" s="237"/>
      <c r="C24" s="237"/>
      <c r="D24" s="237"/>
      <c r="E24" s="237"/>
      <c r="F24" s="237"/>
      <c r="G24" s="237"/>
      <c r="H24" s="237"/>
      <c r="I24" s="237"/>
      <c r="J24" s="237"/>
      <c r="K24" s="237"/>
      <c r="L24" s="237"/>
      <c r="M24" s="237"/>
      <c r="N24" s="237"/>
      <c r="O24" s="237"/>
      <c r="P24" s="237"/>
      <c r="Q24" s="237"/>
      <c r="R24" s="237"/>
      <c r="S24" s="237"/>
      <c r="T24" s="237"/>
      <c r="U24" s="237"/>
      <c r="V24" s="237"/>
      <c r="W24" s="237"/>
      <c r="X24" s="237"/>
      <c r="Y24" s="237"/>
      <c r="Z24" s="237"/>
      <c r="AA24" s="237"/>
      <c r="AB24" s="237"/>
      <c r="AC24" s="237"/>
      <c r="AD24" s="237"/>
      <c r="AE24" s="237"/>
      <c r="AF24" s="237"/>
      <c r="AG24" s="237"/>
      <c r="AH24" s="237"/>
      <c r="AI24" s="237"/>
      <c r="AJ24" s="237"/>
      <c r="AK24" s="237"/>
      <c r="AL24" s="237"/>
    </row>
    <row r="25" spans="1:38" ht="14.25" customHeight="1">
      <c r="A25" s="238"/>
      <c r="B25" s="238"/>
      <c r="C25" s="238"/>
      <c r="D25" s="238"/>
      <c r="E25" s="238"/>
      <c r="F25" s="238"/>
      <c r="G25" s="238"/>
      <c r="H25" s="238"/>
      <c r="I25" s="238"/>
      <c r="J25" s="238"/>
      <c r="K25" s="238"/>
      <c r="L25" s="238"/>
      <c r="M25" s="238"/>
      <c r="N25" s="238"/>
      <c r="O25" s="238"/>
      <c r="P25" s="238"/>
      <c r="Q25" s="238"/>
      <c r="R25" s="238"/>
      <c r="S25" s="238"/>
      <c r="T25" s="238"/>
      <c r="U25" s="238"/>
      <c r="V25" s="238"/>
      <c r="W25" s="238"/>
      <c r="X25" s="238"/>
      <c r="Y25" s="238"/>
      <c r="Z25" s="238"/>
      <c r="AA25" s="238"/>
      <c r="AB25" s="238"/>
      <c r="AC25" s="238"/>
      <c r="AD25" s="238"/>
      <c r="AE25" s="238"/>
      <c r="AF25" s="238"/>
      <c r="AG25" s="238"/>
      <c r="AH25" s="238"/>
      <c r="AI25" s="238"/>
      <c r="AJ25" s="199" t="s">
        <v>120</v>
      </c>
      <c r="AK25" s="200"/>
      <c r="AL25" s="209"/>
    </row>
    <row r="26" spans="1:38" ht="4.5" customHeight="1">
      <c r="A26" s="239"/>
      <c r="B26" s="240"/>
      <c r="C26" s="240"/>
      <c r="D26" s="240"/>
      <c r="E26" s="240"/>
      <c r="F26" s="240"/>
      <c r="G26" s="240"/>
      <c r="H26" s="240"/>
      <c r="I26" s="240"/>
      <c r="J26" s="240"/>
      <c r="K26" s="240"/>
      <c r="L26" s="240"/>
      <c r="M26" s="240"/>
      <c r="N26" s="240"/>
      <c r="O26" s="240"/>
      <c r="P26" s="240"/>
      <c r="Q26" s="240"/>
      <c r="R26" s="240"/>
      <c r="S26" s="240"/>
      <c r="T26" s="240"/>
      <c r="U26" s="240"/>
      <c r="V26" s="240"/>
      <c r="W26" s="240"/>
      <c r="X26" s="240"/>
      <c r="Y26" s="240"/>
      <c r="Z26" s="240"/>
      <c r="AA26" s="240"/>
      <c r="AB26" s="240"/>
      <c r="AC26" s="240"/>
      <c r="AD26" s="240"/>
      <c r="AE26" s="240"/>
      <c r="AF26" s="240"/>
      <c r="AG26" s="240"/>
      <c r="AH26" s="240"/>
      <c r="AI26" s="240"/>
      <c r="AJ26" s="200"/>
      <c r="AK26" s="200"/>
      <c r="AL26" s="209"/>
    </row>
    <row r="27" spans="1:38" ht="14.25" customHeight="1">
      <c r="A27" s="221"/>
      <c r="B27" s="201"/>
      <c r="C27" s="201"/>
      <c r="D27" s="201"/>
      <c r="E27" s="201"/>
      <c r="F27" s="201"/>
      <c r="G27" s="201"/>
      <c r="H27" s="201"/>
      <c r="I27" s="201"/>
      <c r="J27" s="201"/>
      <c r="K27" s="201"/>
      <c r="L27" s="201"/>
      <c r="M27" s="201"/>
      <c r="N27" s="172" t="s">
        <v>121</v>
      </c>
      <c r="O27" s="201"/>
      <c r="P27" s="201"/>
      <c r="Q27" s="201"/>
      <c r="R27" s="201"/>
      <c r="S27" s="201"/>
      <c r="T27" s="201"/>
      <c r="U27" s="201"/>
      <c r="V27" s="201"/>
      <c r="W27" s="201"/>
      <c r="X27" s="201"/>
      <c r="Y27" s="201"/>
      <c r="Z27" s="201"/>
      <c r="AA27" s="201"/>
      <c r="AB27" s="201"/>
      <c r="AC27" s="201"/>
      <c r="AD27" s="201"/>
      <c r="AE27" s="201"/>
      <c r="AF27" s="201"/>
      <c r="AG27" s="201"/>
      <c r="AH27" s="201"/>
      <c r="AI27" s="201"/>
      <c r="AJ27" s="201"/>
      <c r="AK27" s="201"/>
      <c r="AL27" s="209"/>
    </row>
    <row r="28" spans="1:38" ht="14.25" customHeight="1">
      <c r="A28" s="221"/>
      <c r="B28" s="201"/>
      <c r="C28" s="201"/>
      <c r="D28" s="241" t="s">
        <v>122</v>
      </c>
      <c r="E28" s="201"/>
      <c r="F28" s="201"/>
      <c r="G28" s="201"/>
      <c r="H28" s="201"/>
      <c r="I28" s="201"/>
      <c r="J28" s="201"/>
      <c r="K28" s="201"/>
      <c r="L28" s="201"/>
      <c r="M28" s="201"/>
      <c r="N28" s="242" t="s">
        <v>123</v>
      </c>
      <c r="O28" s="243" t="s">
        <v>106</v>
      </c>
      <c r="P28" s="243"/>
      <c r="Q28" s="244"/>
      <c r="R28" s="201"/>
      <c r="S28" s="201"/>
      <c r="T28" s="201"/>
      <c r="U28" s="172" t="s">
        <v>124</v>
      </c>
      <c r="V28" s="201"/>
      <c r="W28" s="201"/>
      <c r="X28" s="201"/>
      <c r="Y28" s="201"/>
      <c r="Z28" s="201"/>
      <c r="AA28" s="201"/>
      <c r="AB28" s="201"/>
      <c r="AC28" s="224"/>
      <c r="AD28" s="201"/>
      <c r="AE28" s="172" t="s">
        <v>125</v>
      </c>
      <c r="AF28" s="201"/>
      <c r="AG28" s="201"/>
      <c r="AH28" s="201"/>
      <c r="AI28" s="201"/>
      <c r="AJ28" s="201"/>
      <c r="AK28" s="201"/>
      <c r="AL28" s="209"/>
    </row>
    <row r="29" spans="1:38" ht="14.25" customHeight="1">
      <c r="A29" s="221"/>
      <c r="B29" s="201"/>
      <c r="C29" s="201"/>
      <c r="D29" s="201"/>
      <c r="E29" s="228"/>
      <c r="F29" s="228"/>
      <c r="G29" s="228"/>
      <c r="H29" s="228"/>
      <c r="I29" s="201"/>
      <c r="J29" s="201"/>
      <c r="K29" s="201"/>
      <c r="L29" s="201"/>
      <c r="M29" s="201"/>
      <c r="N29" s="228"/>
      <c r="O29" s="228"/>
      <c r="P29" s="228"/>
      <c r="Q29" s="228"/>
      <c r="R29" s="201"/>
      <c r="S29" s="201"/>
      <c r="T29" s="201"/>
      <c r="U29" s="201"/>
      <c r="V29" s="201"/>
      <c r="W29" s="228"/>
      <c r="X29" s="228"/>
      <c r="Y29" s="228"/>
      <c r="Z29" s="228"/>
      <c r="AA29" s="201"/>
      <c r="AB29" s="201"/>
      <c r="AC29" s="201"/>
      <c r="AD29" s="201"/>
      <c r="AE29" s="201"/>
      <c r="AF29" s="229"/>
      <c r="AG29" s="229"/>
      <c r="AH29" s="229"/>
      <c r="AI29" s="229"/>
      <c r="AJ29" s="199" t="s">
        <v>93</v>
      </c>
      <c r="AK29" s="200"/>
      <c r="AL29" s="209"/>
    </row>
    <row r="30" spans="1:38" ht="14.25" customHeight="1">
      <c r="A30" s="233">
        <v>18</v>
      </c>
      <c r="B30" s="172" t="s">
        <v>126</v>
      </c>
      <c r="C30" s="201"/>
      <c r="D30" s="201"/>
      <c r="E30" s="201"/>
      <c r="F30" s="201"/>
      <c r="G30" s="201"/>
      <c r="H30" s="201"/>
      <c r="I30" s="201"/>
      <c r="J30" s="201"/>
      <c r="K30" s="201"/>
      <c r="L30" s="201"/>
      <c r="M30" s="201"/>
      <c r="N30" s="201"/>
      <c r="O30" s="201"/>
      <c r="P30" s="201"/>
      <c r="Q30" s="201"/>
      <c r="R30" s="201"/>
      <c r="S30" s="201"/>
      <c r="T30" s="201"/>
      <c r="U30" s="201"/>
      <c r="V30" s="201"/>
      <c r="W30" s="201"/>
      <c r="X30" s="201"/>
      <c r="Y30" s="201"/>
      <c r="Z30" s="201"/>
      <c r="AA30" s="201"/>
      <c r="AB30" s="201"/>
      <c r="AC30" s="201"/>
      <c r="AD30" s="201"/>
      <c r="AE30" s="201"/>
      <c r="AF30" s="201"/>
      <c r="AG30" s="201"/>
      <c r="AH30" s="201"/>
      <c r="AI30" s="201"/>
      <c r="AJ30" s="201"/>
      <c r="AK30" s="201"/>
      <c r="AL30" s="209"/>
    </row>
    <row r="31" spans="1:38" ht="14.25" customHeight="1">
      <c r="A31" s="221"/>
      <c r="B31" s="236" t="s">
        <v>127</v>
      </c>
      <c r="C31" s="236"/>
      <c r="D31" s="236"/>
      <c r="E31" s="236"/>
      <c r="F31" s="236"/>
      <c r="G31" s="236"/>
      <c r="H31" s="236"/>
      <c r="I31" s="236"/>
      <c r="J31" s="236"/>
      <c r="K31" s="236"/>
      <c r="L31" s="236"/>
      <c r="M31" s="236"/>
      <c r="N31" s="236"/>
      <c r="O31" s="236"/>
      <c r="P31" s="236"/>
      <c r="Q31" s="236"/>
      <c r="R31" s="236"/>
      <c r="S31" s="236"/>
      <c r="T31" s="236"/>
      <c r="U31" s="236"/>
      <c r="V31" s="236"/>
      <c r="W31" s="236"/>
      <c r="X31" s="236"/>
      <c r="Y31" s="236"/>
      <c r="Z31" s="236"/>
      <c r="AA31" s="236"/>
      <c r="AB31" s="236"/>
      <c r="AC31" s="236"/>
      <c r="AD31" s="236"/>
      <c r="AE31" s="236"/>
      <c r="AF31" s="236"/>
      <c r="AG31" s="236"/>
      <c r="AH31" s="236"/>
      <c r="AI31" s="236"/>
      <c r="AJ31" s="236"/>
      <c r="AK31" s="236"/>
      <c r="AL31" s="236"/>
    </row>
    <row r="32" spans="1:38" ht="14.25" customHeight="1">
      <c r="A32" s="245"/>
      <c r="B32" s="245"/>
      <c r="C32" s="245"/>
      <c r="D32" s="245"/>
      <c r="E32" s="245"/>
      <c r="F32" s="245"/>
      <c r="G32" s="245"/>
      <c r="H32" s="245"/>
      <c r="I32" s="245"/>
      <c r="J32" s="245"/>
      <c r="K32" s="245"/>
      <c r="L32" s="245"/>
      <c r="M32" s="245"/>
      <c r="N32" s="245"/>
      <c r="O32" s="245"/>
      <c r="P32" s="245"/>
      <c r="Q32" s="245"/>
      <c r="R32" s="245"/>
      <c r="S32" s="246"/>
      <c r="T32" s="246"/>
      <c r="U32" s="246"/>
      <c r="V32" s="246"/>
      <c r="W32" s="246"/>
      <c r="X32" s="246"/>
      <c r="Y32" s="246"/>
      <c r="Z32" s="246"/>
      <c r="AA32" s="246"/>
      <c r="AB32" s="246"/>
      <c r="AC32" s="246"/>
      <c r="AD32" s="246"/>
      <c r="AE32" s="246"/>
      <c r="AF32" s="246"/>
      <c r="AG32" s="246"/>
      <c r="AH32" s="246"/>
      <c r="AI32" s="246"/>
      <c r="AJ32" s="246"/>
      <c r="AK32" s="246"/>
      <c r="AL32" s="247"/>
    </row>
    <row r="33" spans="1:38" ht="14.25" customHeight="1">
      <c r="A33" s="237"/>
      <c r="B33" s="237"/>
      <c r="C33" s="237"/>
      <c r="D33" s="237"/>
      <c r="E33" s="237"/>
      <c r="F33" s="237"/>
      <c r="G33" s="237"/>
      <c r="H33" s="237"/>
      <c r="I33" s="237"/>
      <c r="J33" s="237"/>
      <c r="K33" s="237"/>
      <c r="L33" s="237"/>
      <c r="M33" s="237"/>
      <c r="N33" s="237"/>
      <c r="O33" s="237"/>
      <c r="P33" s="237"/>
      <c r="Q33" s="237"/>
      <c r="R33" s="237"/>
      <c r="S33" s="237"/>
      <c r="T33" s="237"/>
      <c r="U33" s="237"/>
      <c r="V33" s="237"/>
      <c r="W33" s="237"/>
      <c r="X33" s="237"/>
      <c r="Y33" s="237"/>
      <c r="Z33" s="237"/>
      <c r="AA33" s="237"/>
      <c r="AB33" s="237"/>
      <c r="AC33" s="237"/>
      <c r="AD33" s="237"/>
      <c r="AE33" s="237"/>
      <c r="AF33" s="237"/>
      <c r="AG33" s="237"/>
      <c r="AH33" s="237"/>
      <c r="AI33" s="237"/>
      <c r="AJ33" s="237"/>
      <c r="AK33" s="237"/>
      <c r="AL33" s="237"/>
    </row>
    <row r="34" spans="1:38" ht="14.25" customHeight="1">
      <c r="A34" s="248"/>
      <c r="B34" s="248"/>
      <c r="C34" s="248"/>
      <c r="D34" s="248"/>
      <c r="E34" s="248"/>
      <c r="F34" s="248"/>
      <c r="G34" s="248"/>
      <c r="H34" s="248"/>
      <c r="I34" s="248"/>
      <c r="J34" s="248"/>
      <c r="K34" s="248"/>
      <c r="L34" s="248"/>
      <c r="M34" s="248"/>
      <c r="N34" s="248"/>
      <c r="O34" s="248"/>
      <c r="P34" s="248"/>
      <c r="Q34" s="248"/>
      <c r="R34" s="248"/>
      <c r="S34" s="248"/>
      <c r="T34" s="248"/>
      <c r="U34" s="248"/>
      <c r="V34" s="248"/>
      <c r="W34" s="248"/>
      <c r="X34" s="248"/>
      <c r="Y34" s="248"/>
      <c r="Z34" s="248"/>
      <c r="AA34" s="248"/>
      <c r="AB34" s="248"/>
      <c r="AC34" s="248"/>
      <c r="AD34" s="248"/>
      <c r="AE34" s="248"/>
      <c r="AF34" s="248"/>
      <c r="AG34" s="248"/>
      <c r="AH34" s="248"/>
      <c r="AI34" s="248"/>
      <c r="AJ34" s="199" t="s">
        <v>128</v>
      </c>
      <c r="AK34" s="200"/>
      <c r="AL34" s="209"/>
    </row>
    <row r="35" spans="1:38" ht="15.75" customHeight="1">
      <c r="A35" s="249">
        <v>19</v>
      </c>
      <c r="B35" s="190"/>
      <c r="C35" s="250" t="s">
        <v>129</v>
      </c>
      <c r="D35" s="190"/>
      <c r="E35" s="190"/>
      <c r="F35" s="190"/>
      <c r="G35" s="190"/>
      <c r="H35" s="190"/>
      <c r="I35" s="183"/>
      <c r="J35" s="190"/>
      <c r="K35" s="190"/>
      <c r="L35" s="190"/>
      <c r="M35" s="190"/>
      <c r="N35" s="190"/>
      <c r="O35" s="190"/>
      <c r="P35" s="190"/>
      <c r="Q35" s="190"/>
      <c r="R35" s="190"/>
      <c r="S35" s="190"/>
      <c r="T35" s="190"/>
      <c r="U35" s="190"/>
      <c r="V35" s="190"/>
      <c r="W35" s="190"/>
      <c r="X35" s="190"/>
      <c r="Y35" s="190"/>
      <c r="Z35" s="190"/>
      <c r="AA35" s="190"/>
      <c r="AB35" s="190"/>
      <c r="AC35" s="190"/>
      <c r="AD35" s="190"/>
      <c r="AE35" s="190"/>
      <c r="AF35" s="190"/>
      <c r="AG35" s="190"/>
      <c r="AH35" s="190"/>
      <c r="AI35" s="190"/>
      <c r="AJ35" s="190"/>
      <c r="AK35" s="190"/>
      <c r="AL35" s="209"/>
    </row>
    <row r="36" spans="1:38" ht="15.75" customHeight="1">
      <c r="A36" s="171"/>
      <c r="B36" s="201"/>
      <c r="C36" s="201"/>
      <c r="D36" s="201"/>
      <c r="E36" s="172" t="s">
        <v>130</v>
      </c>
      <c r="F36" s="201"/>
      <c r="G36" s="201"/>
      <c r="H36" s="201"/>
      <c r="I36" s="202"/>
      <c r="J36" s="201"/>
      <c r="K36" s="201"/>
      <c r="L36" s="172" t="s">
        <v>131</v>
      </c>
      <c r="M36" s="201"/>
      <c r="N36" s="201"/>
      <c r="O36" s="201"/>
      <c r="P36" s="201"/>
      <c r="Q36" s="201"/>
      <c r="R36" s="201"/>
      <c r="S36" s="207"/>
      <c r="T36" s="201"/>
      <c r="U36" s="201"/>
      <c r="V36" s="201"/>
      <c r="W36" s="172" t="s">
        <v>132</v>
      </c>
      <c r="X36" s="201"/>
      <c r="Y36" s="201"/>
      <c r="Z36" s="201"/>
      <c r="AA36" s="201"/>
      <c r="AB36" s="201"/>
      <c r="AC36" s="224"/>
      <c r="AD36" s="201"/>
      <c r="AE36" s="201"/>
      <c r="AF36" s="201"/>
      <c r="AG36" s="201"/>
      <c r="AH36" s="201"/>
      <c r="AI36" s="201"/>
      <c r="AJ36" s="201"/>
      <c r="AK36" s="201"/>
      <c r="AL36" s="198"/>
    </row>
    <row r="37" spans="1:38" ht="11.25" customHeight="1">
      <c r="A37" s="221"/>
      <c r="B37" s="201"/>
      <c r="C37" s="201"/>
      <c r="D37" s="242" t="s">
        <v>123</v>
      </c>
      <c r="E37" s="243" t="s">
        <v>106</v>
      </c>
      <c r="F37" s="251" t="s">
        <v>133</v>
      </c>
      <c r="G37" s="244"/>
      <c r="H37" s="201"/>
      <c r="I37" s="202"/>
      <c r="J37" s="201"/>
      <c r="K37" s="201"/>
      <c r="L37" s="224"/>
      <c r="M37" s="201"/>
      <c r="N37" s="201"/>
      <c r="O37" s="201"/>
      <c r="P37" s="201"/>
      <c r="Q37" s="201"/>
      <c r="R37" s="201"/>
      <c r="S37" s="207"/>
      <c r="T37" s="201"/>
      <c r="U37" s="201"/>
      <c r="V37" s="201"/>
      <c r="W37" s="201"/>
      <c r="X37" s="201"/>
      <c r="Y37" s="201"/>
      <c r="Z37" s="201"/>
      <c r="AA37" s="201"/>
      <c r="AB37" s="172" t="s">
        <v>134</v>
      </c>
      <c r="AC37" s="173"/>
      <c r="AD37" s="201"/>
      <c r="AE37" s="241" t="s">
        <v>135</v>
      </c>
      <c r="AF37" s="173"/>
      <c r="AG37" s="201"/>
      <c r="AH37" s="172" t="s">
        <v>136</v>
      </c>
      <c r="AI37" s="172"/>
      <c r="AJ37" s="201"/>
      <c r="AK37" s="201"/>
      <c r="AL37" s="209"/>
    </row>
    <row r="38" spans="1:38" ht="14.25" customHeight="1">
      <c r="A38" s="221"/>
      <c r="B38" s="201" t="s">
        <v>137</v>
      </c>
      <c r="C38" s="201" t="s">
        <v>114</v>
      </c>
      <c r="D38" s="252"/>
      <c r="E38" s="252"/>
      <c r="F38" s="253"/>
      <c r="G38" s="254"/>
      <c r="H38" s="201"/>
      <c r="I38" s="202"/>
      <c r="J38" s="201"/>
      <c r="K38" s="201" t="s">
        <v>104</v>
      </c>
      <c r="L38" s="201" t="s">
        <v>114</v>
      </c>
      <c r="M38" s="255">
        <v>0</v>
      </c>
      <c r="N38" s="256">
        <v>0</v>
      </c>
      <c r="O38" s="254"/>
      <c r="P38" s="201"/>
      <c r="Q38" s="201"/>
      <c r="R38" s="201"/>
      <c r="S38" s="207"/>
      <c r="T38" s="201"/>
      <c r="U38" s="201"/>
      <c r="V38" s="201"/>
      <c r="W38" s="201"/>
      <c r="X38" s="201"/>
      <c r="Y38" s="201"/>
      <c r="Z38" s="201"/>
      <c r="AA38" s="201" t="s">
        <v>106</v>
      </c>
      <c r="AB38" s="201" t="s">
        <v>114</v>
      </c>
      <c r="AC38" s="257" t="s">
        <v>138</v>
      </c>
      <c r="AD38" s="201"/>
      <c r="AE38" s="201"/>
      <c r="AF38" s="257" t="s">
        <v>108</v>
      </c>
      <c r="AG38" s="201"/>
      <c r="AH38" s="201"/>
      <c r="AI38" s="257" t="s">
        <v>137</v>
      </c>
      <c r="AJ38" s="201"/>
      <c r="AK38" s="201"/>
      <c r="AL38" s="209"/>
    </row>
    <row r="39" spans="1:38" ht="5.25" customHeight="1">
      <c r="A39" s="225"/>
      <c r="B39" s="212"/>
      <c r="C39" s="212"/>
      <c r="D39" s="258"/>
      <c r="E39" s="258"/>
      <c r="F39" s="259"/>
      <c r="G39" s="259"/>
      <c r="H39" s="212"/>
      <c r="I39" s="213"/>
      <c r="J39" s="212"/>
      <c r="K39" s="212"/>
      <c r="L39" s="212"/>
      <c r="M39" s="214"/>
      <c r="N39" s="214"/>
      <c r="O39" s="259"/>
      <c r="P39" s="212"/>
      <c r="Q39" s="212"/>
      <c r="R39" s="212"/>
      <c r="S39" s="215"/>
      <c r="T39" s="212"/>
      <c r="U39" s="212"/>
      <c r="V39" s="212"/>
      <c r="W39" s="212"/>
      <c r="X39" s="212"/>
      <c r="Y39" s="212"/>
      <c r="Z39" s="212"/>
      <c r="AA39" s="212"/>
      <c r="AB39" s="212"/>
      <c r="AC39" s="212"/>
      <c r="AD39" s="212"/>
      <c r="AE39" s="212"/>
      <c r="AF39" s="212"/>
      <c r="AG39" s="212"/>
      <c r="AH39" s="212"/>
      <c r="AI39" s="212"/>
      <c r="AJ39" s="212"/>
      <c r="AK39" s="212"/>
      <c r="AL39" s="218"/>
    </row>
    <row r="40" spans="1:38" ht="14.25" customHeight="1">
      <c r="A40" s="227"/>
      <c r="B40" s="194"/>
      <c r="C40" s="194"/>
      <c r="D40" s="193" t="s">
        <v>139</v>
      </c>
      <c r="E40" s="194"/>
      <c r="F40" s="194"/>
      <c r="G40" s="194"/>
      <c r="H40" s="194"/>
      <c r="I40" s="194"/>
      <c r="J40" s="194"/>
      <c r="K40" s="194"/>
      <c r="L40" s="194"/>
      <c r="M40" s="194"/>
      <c r="N40" s="194"/>
      <c r="O40" s="194"/>
      <c r="P40" s="194"/>
      <c r="Q40" s="194"/>
      <c r="R40" s="194"/>
      <c r="S40" s="197"/>
      <c r="T40" s="195"/>
      <c r="U40" s="194"/>
      <c r="V40" s="194"/>
      <c r="W40" s="193" t="s">
        <v>140</v>
      </c>
      <c r="X40" s="194"/>
      <c r="Y40" s="194"/>
      <c r="Z40" s="194"/>
      <c r="AA40" s="194"/>
      <c r="AB40" s="194"/>
      <c r="AC40" s="194"/>
      <c r="AD40" s="194"/>
      <c r="AE40" s="194"/>
      <c r="AF40" s="194"/>
      <c r="AG40" s="194"/>
      <c r="AH40" s="194"/>
      <c r="AI40" s="194"/>
      <c r="AJ40" s="194"/>
      <c r="AK40" s="194"/>
      <c r="AL40" s="198"/>
    </row>
    <row r="41" spans="1:38" s="264" customFormat="1" ht="14.25" customHeight="1">
      <c r="A41" s="260"/>
      <c r="B41" s="172"/>
      <c r="C41" s="172"/>
      <c r="D41" s="172"/>
      <c r="E41" s="172"/>
      <c r="F41" s="172" t="s">
        <v>141</v>
      </c>
      <c r="G41" s="172"/>
      <c r="H41" s="172"/>
      <c r="I41" s="172" t="s">
        <v>142</v>
      </c>
      <c r="J41" s="172"/>
      <c r="K41" s="172"/>
      <c r="L41" s="172" t="s">
        <v>143</v>
      </c>
      <c r="M41" s="172"/>
      <c r="N41" s="172"/>
      <c r="O41" s="172" t="s">
        <v>144</v>
      </c>
      <c r="P41" s="172"/>
      <c r="Q41" s="172"/>
      <c r="R41" s="172"/>
      <c r="S41" s="261"/>
      <c r="T41" s="262"/>
      <c r="U41" s="172"/>
      <c r="V41" s="172"/>
      <c r="W41" s="172"/>
      <c r="X41" s="172"/>
      <c r="Y41" s="172" t="s">
        <v>145</v>
      </c>
      <c r="Z41" s="172"/>
      <c r="AA41" s="172"/>
      <c r="AB41" s="172" t="s">
        <v>146</v>
      </c>
      <c r="AC41" s="172"/>
      <c r="AD41" s="172"/>
      <c r="AE41" s="172" t="s">
        <v>134</v>
      </c>
      <c r="AF41" s="172"/>
      <c r="AG41" s="172"/>
      <c r="AH41" s="172" t="s">
        <v>135</v>
      </c>
      <c r="AI41" s="172"/>
      <c r="AJ41" s="172"/>
      <c r="AK41" s="172"/>
      <c r="AL41" s="263"/>
    </row>
    <row r="42" spans="1:38" ht="14.25" customHeight="1">
      <c r="A42" s="221"/>
      <c r="B42" s="201"/>
      <c r="C42" s="201"/>
      <c r="D42" s="257" t="s">
        <v>115</v>
      </c>
      <c r="E42" s="201" t="s">
        <v>147</v>
      </c>
      <c r="F42" s="201"/>
      <c r="G42" s="257" t="s">
        <v>104</v>
      </c>
      <c r="H42" s="201"/>
      <c r="I42" s="201"/>
      <c r="J42" s="257" t="s">
        <v>148</v>
      </c>
      <c r="K42" s="201"/>
      <c r="L42" s="201"/>
      <c r="M42" s="257" t="s">
        <v>149</v>
      </c>
      <c r="N42" s="201"/>
      <c r="O42" s="201"/>
      <c r="P42" s="257" t="s">
        <v>105</v>
      </c>
      <c r="Q42" s="201"/>
      <c r="R42" s="201"/>
      <c r="S42" s="207"/>
      <c r="T42" s="202"/>
      <c r="U42" s="201"/>
      <c r="V42" s="201"/>
      <c r="W42" s="257" t="s">
        <v>105</v>
      </c>
      <c r="X42" s="201" t="s">
        <v>147</v>
      </c>
      <c r="Y42" s="201"/>
      <c r="Z42" s="257" t="s">
        <v>23</v>
      </c>
      <c r="AA42" s="201"/>
      <c r="AB42" s="201"/>
      <c r="AC42" s="257" t="s">
        <v>103</v>
      </c>
      <c r="AD42" s="201"/>
      <c r="AE42" s="201"/>
      <c r="AF42" s="257" t="s">
        <v>138</v>
      </c>
      <c r="AG42" s="201"/>
      <c r="AH42" s="201"/>
      <c r="AI42" s="257" t="s">
        <v>108</v>
      </c>
      <c r="AJ42" s="201"/>
      <c r="AK42" s="201"/>
      <c r="AL42" s="209"/>
    </row>
    <row r="43" spans="1:38" ht="7.5" customHeight="1">
      <c r="A43" s="225"/>
      <c r="B43" s="212"/>
      <c r="C43" s="212"/>
      <c r="D43" s="212"/>
      <c r="E43" s="212"/>
      <c r="F43" s="212"/>
      <c r="G43" s="212"/>
      <c r="H43" s="212"/>
      <c r="I43" s="212"/>
      <c r="J43" s="212"/>
      <c r="K43" s="212"/>
      <c r="L43" s="212"/>
      <c r="M43" s="212"/>
      <c r="N43" s="212"/>
      <c r="O43" s="212"/>
      <c r="P43" s="212"/>
      <c r="Q43" s="212"/>
      <c r="R43" s="212"/>
      <c r="S43" s="215"/>
      <c r="T43" s="213"/>
      <c r="U43" s="212"/>
      <c r="V43" s="212"/>
      <c r="W43" s="212"/>
      <c r="X43" s="212"/>
      <c r="Y43" s="212"/>
      <c r="Z43" s="212"/>
      <c r="AA43" s="212"/>
      <c r="AB43" s="212"/>
      <c r="AC43" s="212"/>
      <c r="AD43" s="212"/>
      <c r="AE43" s="212"/>
      <c r="AF43" s="212"/>
      <c r="AG43" s="212"/>
      <c r="AH43" s="212"/>
      <c r="AI43" s="212"/>
      <c r="AJ43" s="212"/>
      <c r="AK43" s="212"/>
      <c r="AL43" s="218"/>
    </row>
    <row r="44" spans="1:38" ht="9" customHeight="1">
      <c r="A44" s="221"/>
      <c r="B44" s="172" t="s">
        <v>150</v>
      </c>
      <c r="C44" s="201"/>
      <c r="D44" s="224"/>
      <c r="E44" s="201"/>
      <c r="F44" s="201"/>
      <c r="G44" s="201"/>
      <c r="H44" s="201"/>
      <c r="I44" s="201"/>
      <c r="J44" s="201"/>
      <c r="K44" s="201"/>
      <c r="L44" s="201"/>
      <c r="M44" s="201"/>
      <c r="N44" s="201"/>
      <c r="O44" s="201"/>
      <c r="P44" s="201"/>
      <c r="Q44" s="201"/>
      <c r="R44" s="201"/>
      <c r="S44" s="201"/>
      <c r="T44" s="201"/>
      <c r="U44" s="201"/>
      <c r="V44" s="201"/>
      <c r="W44" s="201"/>
      <c r="X44" s="201"/>
      <c r="Y44" s="201"/>
      <c r="Z44" s="201"/>
      <c r="AA44" s="201"/>
      <c r="AB44" s="201"/>
      <c r="AC44" s="201"/>
      <c r="AD44" s="201"/>
      <c r="AE44" s="201"/>
      <c r="AF44" s="201"/>
      <c r="AG44" s="201"/>
      <c r="AH44" s="201"/>
      <c r="AI44" s="201"/>
      <c r="AJ44" s="201"/>
      <c r="AK44" s="201"/>
      <c r="AL44" s="209"/>
    </row>
    <row r="45" spans="1:45" s="264" customFormat="1" ht="14.25" customHeight="1">
      <c r="A45" s="260"/>
      <c r="B45" s="172"/>
      <c r="C45" s="172"/>
      <c r="D45" s="172" t="s">
        <v>109</v>
      </c>
      <c r="E45" s="172"/>
      <c r="F45" s="172"/>
      <c r="G45" s="172" t="s">
        <v>151</v>
      </c>
      <c r="H45" s="172"/>
      <c r="I45" s="172"/>
      <c r="J45" s="172" t="s">
        <v>152</v>
      </c>
      <c r="K45" s="172"/>
      <c r="L45" s="172"/>
      <c r="M45" s="172"/>
      <c r="N45" s="172"/>
      <c r="O45" s="172"/>
      <c r="P45" s="172"/>
      <c r="Q45" s="172" t="s">
        <v>153</v>
      </c>
      <c r="R45" s="172"/>
      <c r="S45" s="172"/>
      <c r="T45" s="172"/>
      <c r="U45" s="172"/>
      <c r="V45" s="172"/>
      <c r="W45" s="172"/>
      <c r="X45" s="172"/>
      <c r="Y45" s="172"/>
      <c r="Z45" s="172"/>
      <c r="AA45" s="172"/>
      <c r="AB45" s="172"/>
      <c r="AC45" s="172"/>
      <c r="AD45" s="172"/>
      <c r="AE45" s="172"/>
      <c r="AF45" s="172"/>
      <c r="AG45" s="172"/>
      <c r="AH45" s="172"/>
      <c r="AI45" s="172"/>
      <c r="AJ45" s="172"/>
      <c r="AK45" s="172"/>
      <c r="AL45" s="263"/>
      <c r="AS45" s="265"/>
    </row>
    <row r="46" spans="1:38" ht="14.25" customHeight="1">
      <c r="A46" s="221"/>
      <c r="B46" s="257" t="s">
        <v>148</v>
      </c>
      <c r="C46" s="201" t="s">
        <v>114</v>
      </c>
      <c r="D46" s="266"/>
      <c r="E46" s="266"/>
      <c r="F46" s="201"/>
      <c r="G46" s="266"/>
      <c r="H46" s="266"/>
      <c r="I46" s="266"/>
      <c r="J46" s="201"/>
      <c r="K46" s="257" t="s">
        <v>117</v>
      </c>
      <c r="L46" s="201"/>
      <c r="M46" s="267"/>
      <c r="N46" s="267"/>
      <c r="O46" s="267"/>
      <c r="P46" s="267"/>
      <c r="Q46" s="267"/>
      <c r="R46" s="267"/>
      <c r="S46" s="267"/>
      <c r="T46" s="267"/>
      <c r="U46" s="267"/>
      <c r="V46" s="267"/>
      <c r="W46" s="199" t="s">
        <v>93</v>
      </c>
      <c r="X46" s="200"/>
      <c r="Y46" s="201"/>
      <c r="Z46" s="201"/>
      <c r="AA46" s="201"/>
      <c r="AB46" s="201"/>
      <c r="AC46" s="201"/>
      <c r="AD46" s="201"/>
      <c r="AE46" s="201"/>
      <c r="AF46" s="201"/>
      <c r="AG46" s="201"/>
      <c r="AH46" s="201"/>
      <c r="AI46" s="201"/>
      <c r="AJ46" s="201"/>
      <c r="AK46" s="201"/>
      <c r="AL46" s="209"/>
    </row>
    <row r="47" spans="1:38" ht="15.75" customHeight="1">
      <c r="A47" s="221"/>
      <c r="B47" s="201"/>
      <c r="C47" s="201"/>
      <c r="D47" s="172" t="s">
        <v>154</v>
      </c>
      <c r="E47" s="201"/>
      <c r="F47" s="201"/>
      <c r="G47" s="201"/>
      <c r="H47" s="201"/>
      <c r="I47" s="201"/>
      <c r="J47" s="201"/>
      <c r="K47" s="201"/>
      <c r="L47" s="201"/>
      <c r="M47" s="201"/>
      <c r="N47" s="201"/>
      <c r="O47" s="201"/>
      <c r="P47" s="201"/>
      <c r="Q47" s="201"/>
      <c r="R47" s="201"/>
      <c r="S47" s="201"/>
      <c r="T47" s="201"/>
      <c r="U47" s="201"/>
      <c r="V47" s="201"/>
      <c r="W47" s="201"/>
      <c r="X47" s="201"/>
      <c r="Y47" s="201"/>
      <c r="Z47" s="201"/>
      <c r="AA47" s="201"/>
      <c r="AB47" s="201"/>
      <c r="AC47" s="201"/>
      <c r="AD47" s="201"/>
      <c r="AE47" s="201"/>
      <c r="AF47" s="201"/>
      <c r="AG47" s="201"/>
      <c r="AH47" s="201"/>
      <c r="AI47" s="201"/>
      <c r="AJ47" s="201"/>
      <c r="AK47" s="201"/>
      <c r="AL47" s="209"/>
    </row>
    <row r="48" spans="1:38" ht="14.25" customHeight="1">
      <c r="A48" s="221"/>
      <c r="B48" s="201" t="s">
        <v>155</v>
      </c>
      <c r="C48" s="201" t="s">
        <v>114</v>
      </c>
      <c r="D48" s="268" t="s">
        <v>156</v>
      </c>
      <c r="E48" s="268"/>
      <c r="F48" s="268"/>
      <c r="G48" s="268"/>
      <c r="H48" s="268"/>
      <c r="I48" s="268"/>
      <c r="J48" s="268"/>
      <c r="K48" s="268"/>
      <c r="L48" s="268"/>
      <c r="M48" s="268"/>
      <c r="N48" s="268"/>
      <c r="O48" s="268"/>
      <c r="P48" s="268"/>
      <c r="Q48" s="268"/>
      <c r="R48" s="268"/>
      <c r="S48" s="268"/>
      <c r="T48" s="268"/>
      <c r="U48" s="268"/>
      <c r="V48" s="268"/>
      <c r="W48" s="268"/>
      <c r="X48" s="268"/>
      <c r="Y48" s="268"/>
      <c r="Z48" s="268"/>
      <c r="AA48" s="268"/>
      <c r="AB48" s="268"/>
      <c r="AC48" s="268"/>
      <c r="AD48" s="268"/>
      <c r="AE48" s="268"/>
      <c r="AF48" s="268"/>
      <c r="AG48" s="268"/>
      <c r="AH48" s="268"/>
      <c r="AI48" s="268"/>
      <c r="AJ48" s="268"/>
      <c r="AK48" s="268"/>
      <c r="AL48" s="268"/>
    </row>
    <row r="49" spans="1:38" ht="15.75" customHeight="1">
      <c r="A49" s="221"/>
      <c r="B49" s="201"/>
      <c r="C49" s="201"/>
      <c r="D49" s="172" t="s">
        <v>157</v>
      </c>
      <c r="E49" s="201"/>
      <c r="F49" s="201"/>
      <c r="G49" s="201"/>
      <c r="H49" s="201"/>
      <c r="I49" s="201"/>
      <c r="J49" s="201"/>
      <c r="K49" s="201"/>
      <c r="L49" s="201"/>
      <c r="M49" s="201"/>
      <c r="N49" s="201"/>
      <c r="O49" s="201"/>
      <c r="P49" s="201"/>
      <c r="Q49" s="201"/>
      <c r="R49" s="201"/>
      <c r="S49" s="201"/>
      <c r="T49" s="201"/>
      <c r="U49" s="201"/>
      <c r="V49" s="201"/>
      <c r="W49" s="201"/>
      <c r="X49" s="201"/>
      <c r="Y49" s="201"/>
      <c r="Z49" s="201"/>
      <c r="AA49" s="201"/>
      <c r="AB49" s="201"/>
      <c r="AC49" s="201"/>
      <c r="AD49" s="201"/>
      <c r="AE49" s="201"/>
      <c r="AF49" s="201"/>
      <c r="AG49" s="201"/>
      <c r="AH49" s="201"/>
      <c r="AI49" s="201"/>
      <c r="AJ49" s="201"/>
      <c r="AK49" s="201"/>
      <c r="AL49" s="209"/>
    </row>
    <row r="50" spans="1:38" ht="14.25" customHeight="1">
      <c r="A50" s="221"/>
      <c r="B50" s="257" t="s">
        <v>158</v>
      </c>
      <c r="C50" s="201" t="s">
        <v>114</v>
      </c>
      <c r="D50" s="229"/>
      <c r="E50" s="229"/>
      <c r="F50" s="229"/>
      <c r="G50" s="229"/>
      <c r="H50" s="229"/>
      <c r="I50" s="229"/>
      <c r="J50" s="229"/>
      <c r="K50" s="229"/>
      <c r="L50" s="229"/>
      <c r="M50" s="229"/>
      <c r="N50" s="229"/>
      <c r="O50" s="229"/>
      <c r="P50" s="229"/>
      <c r="Q50" s="229"/>
      <c r="R50" s="229"/>
      <c r="S50" s="229"/>
      <c r="T50" s="229"/>
      <c r="U50" s="229"/>
      <c r="V50" s="229"/>
      <c r="W50" s="229"/>
      <c r="X50" s="229"/>
      <c r="Y50" s="229"/>
      <c r="Z50" s="229"/>
      <c r="AA50" s="229"/>
      <c r="AB50" s="229"/>
      <c r="AC50" s="229"/>
      <c r="AD50" s="229"/>
      <c r="AE50" s="229"/>
      <c r="AF50" s="229"/>
      <c r="AG50" s="229"/>
      <c r="AH50" s="229"/>
      <c r="AI50" s="229"/>
      <c r="AJ50" s="199" t="s">
        <v>93</v>
      </c>
      <c r="AK50" s="200"/>
      <c r="AL50" s="209"/>
    </row>
    <row r="51" spans="1:38" ht="15.75" customHeight="1">
      <c r="A51" s="221"/>
      <c r="B51" s="201"/>
      <c r="C51" s="201"/>
      <c r="D51" s="172" t="s">
        <v>159</v>
      </c>
      <c r="E51" s="201"/>
      <c r="F51" s="201"/>
      <c r="G51" s="201"/>
      <c r="H51" s="201"/>
      <c r="I51" s="201"/>
      <c r="J51" s="201"/>
      <c r="K51" s="201"/>
      <c r="L51" s="201"/>
      <c r="M51" s="201"/>
      <c r="N51" s="201"/>
      <c r="O51" s="201"/>
      <c r="P51" s="201"/>
      <c r="Q51" s="201"/>
      <c r="R51" s="201"/>
      <c r="S51" s="201"/>
      <c r="T51" s="201"/>
      <c r="U51" s="201"/>
      <c r="V51" s="201"/>
      <c r="W51" s="201"/>
      <c r="X51" s="201"/>
      <c r="Y51" s="201"/>
      <c r="Z51" s="201"/>
      <c r="AA51" s="201"/>
      <c r="AB51" s="201"/>
      <c r="AC51" s="201"/>
      <c r="AD51" s="201"/>
      <c r="AE51" s="201"/>
      <c r="AF51" s="201"/>
      <c r="AG51" s="201"/>
      <c r="AH51" s="201"/>
      <c r="AI51" s="201"/>
      <c r="AJ51" s="201"/>
      <c r="AK51" s="201"/>
      <c r="AL51" s="209"/>
    </row>
    <row r="52" spans="1:38" ht="14.25" customHeight="1">
      <c r="A52" s="221"/>
      <c r="B52" s="201" t="s">
        <v>117</v>
      </c>
      <c r="C52" s="201" t="s">
        <v>114</v>
      </c>
      <c r="D52" s="268"/>
      <c r="E52" s="268"/>
      <c r="F52" s="268"/>
      <c r="G52" s="268"/>
      <c r="H52" s="268"/>
      <c r="I52" s="268"/>
      <c r="J52" s="268"/>
      <c r="K52" s="268"/>
      <c r="L52" s="268"/>
      <c r="M52" s="268"/>
      <c r="N52" s="268"/>
      <c r="O52" s="268"/>
      <c r="P52" s="268"/>
      <c r="Q52" s="268"/>
      <c r="R52" s="268"/>
      <c r="S52" s="268"/>
      <c r="T52" s="268"/>
      <c r="U52" s="268"/>
      <c r="V52" s="268"/>
      <c r="W52" s="199" t="s">
        <v>128</v>
      </c>
      <c r="X52" s="200"/>
      <c r="Y52" s="201"/>
      <c r="Z52" s="201"/>
      <c r="AA52" s="201"/>
      <c r="AB52" s="201"/>
      <c r="AC52" s="201"/>
      <c r="AD52" s="201"/>
      <c r="AE52" s="201"/>
      <c r="AF52" s="201"/>
      <c r="AG52" s="201"/>
      <c r="AH52" s="201"/>
      <c r="AI52" s="201"/>
      <c r="AJ52" s="201"/>
      <c r="AK52" s="201"/>
      <c r="AL52" s="209"/>
    </row>
    <row r="53" spans="1:38" ht="15.75" customHeight="1">
      <c r="A53" s="221"/>
      <c r="B53" s="201"/>
      <c r="C53" s="201"/>
      <c r="D53" s="172" t="s">
        <v>160</v>
      </c>
      <c r="E53" s="201"/>
      <c r="F53" s="201"/>
      <c r="G53" s="201"/>
      <c r="H53" s="201"/>
      <c r="I53" s="201"/>
      <c r="J53" s="201"/>
      <c r="K53" s="201"/>
      <c r="L53" s="201"/>
      <c r="M53" s="201"/>
      <c r="N53" s="201"/>
      <c r="O53" s="201"/>
      <c r="P53" s="201"/>
      <c r="Q53" s="201"/>
      <c r="R53" s="201"/>
      <c r="S53" s="201"/>
      <c r="T53" s="201"/>
      <c r="U53" s="201"/>
      <c r="V53" s="201"/>
      <c r="W53" s="201"/>
      <c r="X53" s="201"/>
      <c r="Y53" s="201"/>
      <c r="Z53" s="201"/>
      <c r="AA53" s="201"/>
      <c r="AB53" s="201"/>
      <c r="AC53" s="201"/>
      <c r="AD53" s="201"/>
      <c r="AE53" s="201"/>
      <c r="AF53" s="201"/>
      <c r="AG53" s="201"/>
      <c r="AH53" s="201"/>
      <c r="AI53" s="201"/>
      <c r="AJ53" s="201"/>
      <c r="AK53" s="201"/>
      <c r="AL53" s="209"/>
    </row>
    <row r="54" spans="1:38" ht="15.75" customHeight="1">
      <c r="A54" s="269"/>
      <c r="B54" s="270"/>
      <c r="C54" s="270"/>
      <c r="D54" s="270"/>
      <c r="E54" s="270"/>
      <c r="F54" s="270"/>
      <c r="G54" s="270"/>
      <c r="H54" s="270"/>
      <c r="I54" s="270"/>
      <c r="J54" s="270"/>
      <c r="K54" s="270"/>
      <c r="L54" s="271"/>
      <c r="M54" s="195"/>
      <c r="N54" s="193" t="s">
        <v>161</v>
      </c>
      <c r="O54" s="194"/>
      <c r="P54" s="194"/>
      <c r="Q54" s="194"/>
      <c r="R54" s="194"/>
      <c r="S54" s="194"/>
      <c r="T54" s="194"/>
      <c r="U54" s="194"/>
      <c r="V54" s="194"/>
      <c r="W54" s="194"/>
      <c r="X54" s="194"/>
      <c r="Y54" s="194"/>
      <c r="Z54" s="194"/>
      <c r="AA54" s="194"/>
      <c r="AB54" s="194"/>
      <c r="AC54" s="194"/>
      <c r="AD54" s="194"/>
      <c r="AE54" s="194"/>
      <c r="AF54" s="194"/>
      <c r="AG54" s="194"/>
      <c r="AH54" s="194"/>
      <c r="AI54" s="194"/>
      <c r="AJ54" s="194"/>
      <c r="AK54" s="194"/>
      <c r="AL54" s="198"/>
    </row>
    <row r="55" spans="1:38" ht="14.25" customHeight="1">
      <c r="A55" s="272"/>
      <c r="B55" s="273"/>
      <c r="C55" s="273"/>
      <c r="D55" s="273"/>
      <c r="E55" s="273"/>
      <c r="F55" s="273"/>
      <c r="G55" s="273"/>
      <c r="H55" s="273"/>
      <c r="I55" s="273"/>
      <c r="J55" s="273"/>
      <c r="K55" s="273"/>
      <c r="L55" s="274"/>
      <c r="M55" s="202"/>
      <c r="N55" s="201"/>
      <c r="O55" s="201"/>
      <c r="P55" s="201"/>
      <c r="Q55" s="201"/>
      <c r="R55" s="201"/>
      <c r="S55" s="201"/>
      <c r="T55" s="201"/>
      <c r="U55" s="201"/>
      <c r="V55" s="201"/>
      <c r="W55" s="201"/>
      <c r="X55" s="201"/>
      <c r="Y55" s="201"/>
      <c r="Z55" s="201"/>
      <c r="AA55" s="201"/>
      <c r="AB55" s="201"/>
      <c r="AC55" s="201"/>
      <c r="AD55" s="201"/>
      <c r="AE55" s="201"/>
      <c r="AF55" s="201"/>
      <c r="AG55" s="201"/>
      <c r="AH55" s="201"/>
      <c r="AI55" s="201"/>
      <c r="AJ55" s="201"/>
      <c r="AK55" s="201"/>
      <c r="AL55" s="209"/>
    </row>
    <row r="56" spans="1:38" ht="14.25" customHeight="1">
      <c r="A56" s="275"/>
      <c r="B56" s="276"/>
      <c r="C56" s="276"/>
      <c r="D56" s="276"/>
      <c r="E56" s="276"/>
      <c r="F56" s="276"/>
      <c r="G56" s="276"/>
      <c r="H56" s="276"/>
      <c r="I56" s="276"/>
      <c r="J56" s="276"/>
      <c r="K56" s="276"/>
      <c r="L56" s="277"/>
      <c r="M56" s="278"/>
      <c r="N56" s="279"/>
      <c r="O56" s="279"/>
      <c r="P56" s="279"/>
      <c r="Q56" s="279"/>
      <c r="R56" s="279"/>
      <c r="S56" s="279"/>
      <c r="T56" s="279"/>
      <c r="U56" s="279"/>
      <c r="V56" s="279"/>
      <c r="W56" s="279"/>
      <c r="X56" s="279"/>
      <c r="Y56" s="279"/>
      <c r="Z56" s="279"/>
      <c r="AA56" s="279"/>
      <c r="AB56" s="279"/>
      <c r="AC56" s="279"/>
      <c r="AD56" s="279"/>
      <c r="AE56" s="279"/>
      <c r="AF56" s="279"/>
      <c r="AG56" s="279"/>
      <c r="AH56" s="279"/>
      <c r="AI56" s="279"/>
      <c r="AJ56" s="279"/>
      <c r="AK56" s="279"/>
      <c r="AL56" s="280"/>
    </row>
    <row r="57" spans="4:20" ht="14.25" customHeight="1">
      <c r="D57" s="281"/>
      <c r="E57" s="281"/>
      <c r="F57" s="281"/>
      <c r="G57" s="281"/>
      <c r="H57" s="281"/>
      <c r="I57" s="281"/>
      <c r="J57" s="281"/>
      <c r="K57" s="281"/>
      <c r="L57" s="281"/>
      <c r="M57" s="281"/>
      <c r="N57" s="281"/>
      <c r="O57" s="281"/>
      <c r="P57" s="281"/>
      <c r="Q57" s="281"/>
      <c r="R57" s="281"/>
      <c r="S57" s="281"/>
      <c r="T57" s="281"/>
    </row>
    <row r="58" spans="4:20" ht="14.25" customHeight="1">
      <c r="D58" s="281"/>
      <c r="E58" s="281"/>
      <c r="F58" s="281"/>
      <c r="G58" s="281"/>
      <c r="H58" s="281"/>
      <c r="I58" s="281"/>
      <c r="J58" s="281"/>
      <c r="K58" s="281"/>
      <c r="L58" s="281"/>
      <c r="M58" s="281"/>
      <c r="N58" s="281"/>
      <c r="O58" s="281"/>
      <c r="P58" s="281"/>
      <c r="Q58" s="281"/>
      <c r="R58" s="281"/>
      <c r="S58" s="281"/>
      <c r="T58" s="281"/>
    </row>
    <row r="59" spans="4:20" ht="14.25" customHeight="1">
      <c r="D59" s="281"/>
      <c r="E59" s="281"/>
      <c r="F59" s="281"/>
      <c r="G59" s="281"/>
      <c r="H59" s="281"/>
      <c r="I59" s="281"/>
      <c r="J59" s="281"/>
      <c r="K59" s="281"/>
      <c r="L59" s="281"/>
      <c r="M59" s="281"/>
      <c r="N59" s="281"/>
      <c r="O59" s="281"/>
      <c r="P59" s="281"/>
      <c r="Q59" s="281"/>
      <c r="R59" s="281"/>
      <c r="S59" s="281"/>
      <c r="T59" s="281"/>
    </row>
    <row r="60" spans="4:20" ht="14.25" customHeight="1">
      <c r="D60" s="281"/>
      <c r="E60" s="281"/>
      <c r="F60" s="281"/>
      <c r="G60" s="281"/>
      <c r="H60" s="281"/>
      <c r="I60" s="281"/>
      <c r="J60" s="281"/>
      <c r="K60" s="281"/>
      <c r="L60" s="281"/>
      <c r="M60" s="281"/>
      <c r="N60" s="281"/>
      <c r="O60" s="281"/>
      <c r="P60" s="281"/>
      <c r="Q60" s="281"/>
      <c r="R60" s="281"/>
      <c r="S60" s="281"/>
      <c r="T60" s="281"/>
    </row>
    <row r="61" spans="4:20" ht="14.25" customHeight="1">
      <c r="D61" s="281"/>
      <c r="E61" s="281"/>
      <c r="F61" s="281"/>
      <c r="G61" s="281"/>
      <c r="H61" s="281"/>
      <c r="I61" s="281"/>
      <c r="J61" s="281"/>
      <c r="K61" s="281"/>
      <c r="L61" s="281"/>
      <c r="M61" s="281"/>
      <c r="N61" s="281"/>
      <c r="O61" s="281"/>
      <c r="P61" s="281"/>
      <c r="Q61" s="281"/>
      <c r="R61" s="281"/>
      <c r="S61" s="281"/>
      <c r="T61" s="281"/>
    </row>
    <row r="62" spans="4:20" ht="14.25" customHeight="1">
      <c r="D62" s="281"/>
      <c r="E62" s="281"/>
      <c r="F62" s="281"/>
      <c r="G62" s="281"/>
      <c r="H62" s="281"/>
      <c r="I62" s="281"/>
      <c r="J62" s="281"/>
      <c r="K62" s="281"/>
      <c r="L62" s="281"/>
      <c r="M62" s="281"/>
      <c r="N62" s="281"/>
      <c r="O62" s="281"/>
      <c r="P62" s="281"/>
      <c r="Q62" s="281"/>
      <c r="R62" s="281"/>
      <c r="S62" s="281"/>
      <c r="T62" s="281"/>
    </row>
    <row r="63" spans="4:20" ht="14.25" customHeight="1">
      <c r="D63" s="281"/>
      <c r="E63" s="281"/>
      <c r="F63" s="281"/>
      <c r="G63" s="281"/>
      <c r="H63" s="281"/>
      <c r="I63" s="281"/>
      <c r="J63" s="281"/>
      <c r="K63" s="281"/>
      <c r="L63" s="281"/>
      <c r="M63" s="281"/>
      <c r="N63" s="281"/>
      <c r="O63" s="281"/>
      <c r="P63" s="281"/>
      <c r="Q63" s="281"/>
      <c r="R63" s="281"/>
      <c r="S63" s="281"/>
      <c r="T63" s="281"/>
    </row>
  </sheetData>
  <sheetProtection selectLockedCells="1" selectUnlockedCells="1"/>
  <mergeCells count="32">
    <mergeCell ref="A1:AL1"/>
    <mergeCell ref="A2:AL2"/>
    <mergeCell ref="H7:O7"/>
    <mergeCell ref="B15:C15"/>
    <mergeCell ref="I15:L15"/>
    <mergeCell ref="AD15:AI15"/>
    <mergeCell ref="E18:H18"/>
    <mergeCell ref="N18:Q18"/>
    <mergeCell ref="AD18:AI18"/>
    <mergeCell ref="B21:F21"/>
    <mergeCell ref="I21:L21"/>
    <mergeCell ref="N21:AL21"/>
    <mergeCell ref="A22:AL22"/>
    <mergeCell ref="A23:AL23"/>
    <mergeCell ref="A24:AL24"/>
    <mergeCell ref="A25:AI25"/>
    <mergeCell ref="E29:H29"/>
    <mergeCell ref="N29:O29"/>
    <mergeCell ref="P29:Q29"/>
    <mergeCell ref="W29:Z29"/>
    <mergeCell ref="AF29:AI29"/>
    <mergeCell ref="B31:AL31"/>
    <mergeCell ref="A32:R32"/>
    <mergeCell ref="A33:AL33"/>
    <mergeCell ref="A34:AI34"/>
    <mergeCell ref="D38:E38"/>
    <mergeCell ref="D46:E46"/>
    <mergeCell ref="G46:I46"/>
    <mergeCell ref="M46:V46"/>
    <mergeCell ref="D48:AL48"/>
    <mergeCell ref="D50:AI50"/>
    <mergeCell ref="D52:V52"/>
  </mergeCells>
  <printOptions horizontalCentered="1"/>
  <pageMargins left="0" right="0" top="0.39375" bottom="0" header="0.5118055555555555" footer="0.5118055555555555"/>
  <pageSetup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S63"/>
  <sheetViews>
    <sheetView zoomScale="45" zoomScaleNormal="45" workbookViewId="0" topLeftCell="A1">
      <selection activeCell="CW20" sqref="CW20"/>
    </sheetView>
  </sheetViews>
  <sheetFormatPr defaultColWidth="3.421875" defaultRowHeight="14.25" customHeight="1"/>
  <cols>
    <col min="1" max="16384" width="2.57421875" style="168" customWidth="1"/>
  </cols>
  <sheetData>
    <row r="1" spans="1:38" ht="12" customHeight="1">
      <c r="A1" s="169" t="s">
        <v>89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</row>
    <row r="2" spans="1:38" ht="12" customHeight="1">
      <c r="A2" s="170" t="s">
        <v>90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170"/>
      <c r="AJ2" s="170"/>
      <c r="AK2" s="170"/>
      <c r="AL2" s="170"/>
    </row>
    <row r="3" spans="1:38" ht="14.25" customHeight="1">
      <c r="A3" s="171"/>
      <c r="B3" s="172" t="s">
        <v>91</v>
      </c>
      <c r="C3" s="172"/>
      <c r="D3" s="172"/>
      <c r="E3" s="173"/>
      <c r="F3" s="173"/>
      <c r="G3" s="172" t="s">
        <v>92</v>
      </c>
      <c r="H3" s="174"/>
      <c r="I3" s="174"/>
      <c r="J3" s="174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173"/>
      <c r="AE3" s="173"/>
      <c r="AF3" s="173"/>
      <c r="AG3" s="173"/>
      <c r="AH3" s="173"/>
      <c r="AI3" s="173"/>
      <c r="AJ3" s="173"/>
      <c r="AK3" s="173"/>
      <c r="AL3" s="175"/>
    </row>
    <row r="4" spans="1:38" ht="14.25" customHeight="1">
      <c r="A4" s="176" t="s">
        <v>93</v>
      </c>
      <c r="B4" s="177"/>
      <c r="C4" s="173"/>
      <c r="D4" s="178" t="s">
        <v>94</v>
      </c>
      <c r="E4" s="173"/>
      <c r="F4" s="173"/>
      <c r="G4" s="179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  <c r="AA4" s="180"/>
      <c r="AB4" s="180"/>
      <c r="AC4" s="180"/>
      <c r="AD4" s="180"/>
      <c r="AE4" s="180"/>
      <c r="AF4" s="180"/>
      <c r="AG4" s="180"/>
      <c r="AH4" s="180"/>
      <c r="AI4" s="180"/>
      <c r="AJ4" s="180"/>
      <c r="AK4" s="180"/>
      <c r="AL4" s="181"/>
    </row>
    <row r="5" spans="1:38" ht="14.25" customHeight="1">
      <c r="A5" s="171"/>
      <c r="B5" s="173"/>
      <c r="C5" s="173"/>
      <c r="D5" s="173"/>
      <c r="E5" s="173"/>
      <c r="F5" s="173"/>
      <c r="G5" s="182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3"/>
      <c r="Z5" s="183"/>
      <c r="AA5" s="183"/>
      <c r="AB5" s="183"/>
      <c r="AC5" s="183"/>
      <c r="AD5" s="183"/>
      <c r="AE5" s="183"/>
      <c r="AF5" s="183"/>
      <c r="AG5" s="183"/>
      <c r="AH5" s="183"/>
      <c r="AI5" s="183"/>
      <c r="AJ5" s="183"/>
      <c r="AK5" s="183"/>
      <c r="AL5" s="184"/>
    </row>
    <row r="6" spans="1:38" ht="14.25" customHeight="1">
      <c r="A6" s="171"/>
      <c r="B6" s="173"/>
      <c r="C6" s="173"/>
      <c r="D6" s="173"/>
      <c r="E6" s="173"/>
      <c r="F6" s="173"/>
      <c r="G6" s="182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83"/>
      <c r="Z6" s="183"/>
      <c r="AA6" s="183"/>
      <c r="AB6" s="183"/>
      <c r="AC6" s="183"/>
      <c r="AD6" s="183"/>
      <c r="AE6" s="183"/>
      <c r="AF6" s="183"/>
      <c r="AG6" s="183"/>
      <c r="AH6" s="183"/>
      <c r="AI6" s="185"/>
      <c r="AJ6" s="176" t="s">
        <v>93</v>
      </c>
      <c r="AK6" s="177"/>
      <c r="AL6" s="181"/>
    </row>
    <row r="7" spans="1:38" ht="14.25" customHeight="1">
      <c r="A7" s="171"/>
      <c r="B7" s="172" t="s">
        <v>95</v>
      </c>
      <c r="C7" s="174"/>
      <c r="D7" s="186"/>
      <c r="E7" s="174"/>
      <c r="F7" s="173"/>
      <c r="G7" s="173"/>
      <c r="H7" s="187" t="s">
        <v>96</v>
      </c>
      <c r="I7" s="187"/>
      <c r="J7" s="187"/>
      <c r="K7" s="187"/>
      <c r="L7" s="187"/>
      <c r="M7" s="187"/>
      <c r="N7" s="187"/>
      <c r="O7" s="187"/>
      <c r="P7" s="173"/>
      <c r="Q7" s="180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173"/>
      <c r="AH7" s="173"/>
      <c r="AI7" s="173"/>
      <c r="AJ7" s="173"/>
      <c r="AK7" s="173"/>
      <c r="AL7" s="175"/>
    </row>
    <row r="8" spans="1:38" ht="14.25" customHeight="1">
      <c r="A8" s="188"/>
      <c r="B8" s="185"/>
      <c r="C8" s="182"/>
      <c r="D8" s="183"/>
      <c r="E8" s="183"/>
      <c r="F8" s="185"/>
      <c r="G8" s="173"/>
      <c r="H8" s="182"/>
      <c r="I8" s="183"/>
      <c r="J8" s="183"/>
      <c r="K8" s="183"/>
      <c r="L8" s="183"/>
      <c r="M8" s="183"/>
      <c r="N8" s="183"/>
      <c r="O8" s="185"/>
      <c r="P8" s="176" t="s">
        <v>93</v>
      </c>
      <c r="Q8" s="177"/>
      <c r="R8" s="173"/>
      <c r="S8" s="173"/>
      <c r="T8" s="173"/>
      <c r="U8" s="173"/>
      <c r="V8" s="173"/>
      <c r="W8" s="173"/>
      <c r="X8" s="173"/>
      <c r="Y8" s="173"/>
      <c r="Z8" s="173"/>
      <c r="AA8" s="173"/>
      <c r="AB8" s="173"/>
      <c r="AC8" s="173"/>
      <c r="AD8" s="173"/>
      <c r="AE8" s="173"/>
      <c r="AF8" s="173"/>
      <c r="AG8" s="173"/>
      <c r="AH8" s="173"/>
      <c r="AI8" s="173"/>
      <c r="AJ8" s="173"/>
      <c r="AK8" s="173"/>
      <c r="AL8" s="175"/>
    </row>
    <row r="9" spans="1:38" ht="14.25" customHeight="1">
      <c r="A9" s="171"/>
      <c r="B9" s="172" t="s">
        <v>97</v>
      </c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73"/>
      <c r="AI9" s="173"/>
      <c r="AJ9" s="173"/>
      <c r="AK9" s="173"/>
      <c r="AL9" s="175"/>
    </row>
    <row r="10" spans="1:38" ht="14.25" customHeight="1">
      <c r="A10" s="189"/>
      <c r="B10" s="190"/>
      <c r="C10" s="190"/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N10" s="190"/>
      <c r="O10" s="190"/>
      <c r="P10" s="190"/>
      <c r="Q10" s="190"/>
      <c r="R10" s="190"/>
      <c r="S10" s="190"/>
      <c r="T10" s="190"/>
      <c r="U10" s="190"/>
      <c r="V10" s="190"/>
      <c r="W10" s="190"/>
      <c r="X10" s="190"/>
      <c r="Y10" s="190"/>
      <c r="Z10" s="190"/>
      <c r="AA10" s="190"/>
      <c r="AB10" s="190"/>
      <c r="AC10" s="190"/>
      <c r="AD10" s="190"/>
      <c r="AE10" s="190"/>
      <c r="AF10" s="190"/>
      <c r="AG10" s="190"/>
      <c r="AH10" s="190"/>
      <c r="AI10" s="190"/>
      <c r="AJ10" s="190"/>
      <c r="AK10" s="190"/>
      <c r="AL10" s="191"/>
    </row>
    <row r="11" spans="1:38" ht="14.25" customHeight="1">
      <c r="A11" s="192">
        <v>3</v>
      </c>
      <c r="B11" s="193" t="s">
        <v>98</v>
      </c>
      <c r="C11" s="193"/>
      <c r="D11" s="193"/>
      <c r="E11" s="193"/>
      <c r="F11" s="194"/>
      <c r="G11" s="194"/>
      <c r="H11" s="194"/>
      <c r="I11" s="194"/>
      <c r="J11" s="195"/>
      <c r="K11" s="196">
        <v>7</v>
      </c>
      <c r="L11" s="193" t="s">
        <v>99</v>
      </c>
      <c r="M11" s="193"/>
      <c r="N11" s="193"/>
      <c r="O11" s="193"/>
      <c r="P11" s="193"/>
      <c r="Q11" s="193"/>
      <c r="R11" s="194"/>
      <c r="S11" s="194"/>
      <c r="T11" s="194"/>
      <c r="U11" s="194"/>
      <c r="V11" s="194"/>
      <c r="W11" s="194"/>
      <c r="X11" s="197"/>
      <c r="Y11" s="196">
        <v>8</v>
      </c>
      <c r="Z11" s="193" t="s">
        <v>100</v>
      </c>
      <c r="AA11" s="193"/>
      <c r="AB11" s="193"/>
      <c r="AC11" s="194"/>
      <c r="AD11" s="194"/>
      <c r="AE11" s="194"/>
      <c r="AF11" s="194"/>
      <c r="AG11" s="194"/>
      <c r="AH11" s="193" t="s">
        <v>101</v>
      </c>
      <c r="AI11" s="193"/>
      <c r="AJ11" s="193"/>
      <c r="AK11" s="193"/>
      <c r="AL11" s="198"/>
    </row>
    <row r="12" spans="1:38" ht="14.25" customHeight="1">
      <c r="A12" s="199" t="s">
        <v>93</v>
      </c>
      <c r="B12" s="200"/>
      <c r="C12" s="201"/>
      <c r="D12" s="200" t="s">
        <v>102</v>
      </c>
      <c r="E12" s="201"/>
      <c r="F12" s="201"/>
      <c r="G12" s="201"/>
      <c r="H12" s="201"/>
      <c r="I12" s="201"/>
      <c r="J12" s="202"/>
      <c r="K12" s="203" t="s">
        <v>103</v>
      </c>
      <c r="L12" s="204" t="s">
        <v>74</v>
      </c>
      <c r="M12" s="204" t="s">
        <v>104</v>
      </c>
      <c r="N12" s="204" t="s">
        <v>105</v>
      </c>
      <c r="O12" s="204" t="s">
        <v>106</v>
      </c>
      <c r="P12" s="205" t="s">
        <v>107</v>
      </c>
      <c r="Q12" s="206"/>
      <c r="R12" s="201"/>
      <c r="S12" s="201"/>
      <c r="T12" s="201"/>
      <c r="U12" s="201"/>
      <c r="V12" s="201"/>
      <c r="W12" s="201"/>
      <c r="X12" s="207"/>
      <c r="Y12" s="201"/>
      <c r="Z12" s="201"/>
      <c r="AA12" s="208" t="s">
        <v>108</v>
      </c>
      <c r="AB12" s="201"/>
      <c r="AC12" s="201"/>
      <c r="AD12" s="201"/>
      <c r="AE12" s="201"/>
      <c r="AF12" s="201"/>
      <c r="AG12" s="201"/>
      <c r="AH12" s="201"/>
      <c r="AI12" s="208" t="s">
        <v>107</v>
      </c>
      <c r="AJ12" s="200" t="s">
        <v>93</v>
      </c>
      <c r="AK12" s="200"/>
      <c r="AL12" s="209"/>
    </row>
    <row r="13" spans="1:38" ht="6" customHeight="1">
      <c r="A13" s="210"/>
      <c r="B13" s="211"/>
      <c r="C13" s="212"/>
      <c r="D13" s="211"/>
      <c r="E13" s="212"/>
      <c r="F13" s="212"/>
      <c r="G13" s="212"/>
      <c r="H13" s="212"/>
      <c r="I13" s="212"/>
      <c r="J13" s="213"/>
      <c r="K13" s="214"/>
      <c r="L13" s="214"/>
      <c r="M13" s="214"/>
      <c r="N13" s="214"/>
      <c r="O13" s="214"/>
      <c r="P13" s="214"/>
      <c r="Q13" s="214"/>
      <c r="R13" s="212"/>
      <c r="S13" s="212"/>
      <c r="T13" s="212"/>
      <c r="U13" s="212"/>
      <c r="V13" s="212"/>
      <c r="W13" s="212"/>
      <c r="X13" s="215"/>
      <c r="Y13" s="212"/>
      <c r="Z13" s="212"/>
      <c r="AA13" s="216"/>
      <c r="AB13" s="212"/>
      <c r="AC13" s="212"/>
      <c r="AD13" s="212"/>
      <c r="AE13" s="212"/>
      <c r="AF13" s="212"/>
      <c r="AG13" s="212"/>
      <c r="AH13" s="212"/>
      <c r="AI13" s="217"/>
      <c r="AJ13" s="211"/>
      <c r="AK13" s="211"/>
      <c r="AL13" s="218"/>
    </row>
    <row r="14" spans="1:38" ht="14.25" customHeight="1">
      <c r="A14" s="192">
        <v>9</v>
      </c>
      <c r="B14" s="193" t="s">
        <v>109</v>
      </c>
      <c r="C14" s="194"/>
      <c r="D14" s="194"/>
      <c r="E14" s="194"/>
      <c r="F14" s="194"/>
      <c r="G14" s="194"/>
      <c r="H14" s="194"/>
      <c r="I14" s="193" t="s">
        <v>110</v>
      </c>
      <c r="J14" s="194"/>
      <c r="K14" s="194"/>
      <c r="L14" s="194"/>
      <c r="M14" s="194"/>
      <c r="N14" s="194"/>
      <c r="O14" s="194"/>
      <c r="P14" s="194"/>
      <c r="Q14" s="194"/>
      <c r="R14" s="193" t="s">
        <v>111</v>
      </c>
      <c r="S14" s="194"/>
      <c r="T14" s="194"/>
      <c r="U14" s="194"/>
      <c r="V14" s="194"/>
      <c r="W14" s="194"/>
      <c r="X14" s="194"/>
      <c r="Y14" s="194"/>
      <c r="Z14" s="219"/>
      <c r="AA14" s="202"/>
      <c r="AB14" s="220">
        <v>10</v>
      </c>
      <c r="AC14" s="172" t="s">
        <v>112</v>
      </c>
      <c r="AD14" s="201"/>
      <c r="AE14" s="201"/>
      <c r="AF14" s="201"/>
      <c r="AG14" s="201"/>
      <c r="AH14" s="201"/>
      <c r="AI14" s="201"/>
      <c r="AJ14" s="173"/>
      <c r="AK14" s="173"/>
      <c r="AL14" s="175"/>
    </row>
    <row r="15" spans="1:38" ht="14.25" customHeight="1">
      <c r="A15" s="221"/>
      <c r="B15" s="222">
        <v>1</v>
      </c>
      <c r="C15" s="222"/>
      <c r="D15" s="201"/>
      <c r="E15" s="201"/>
      <c r="F15" s="201"/>
      <c r="G15" s="201"/>
      <c r="H15" s="201"/>
      <c r="I15" s="208" t="s">
        <v>113</v>
      </c>
      <c r="J15" s="208"/>
      <c r="K15" s="208"/>
      <c r="L15" s="208"/>
      <c r="M15" s="201"/>
      <c r="N15" s="201"/>
      <c r="O15" s="201"/>
      <c r="P15" s="201"/>
      <c r="Q15" s="201"/>
      <c r="R15" s="201"/>
      <c r="S15" s="201"/>
      <c r="T15" s="200" t="s">
        <v>114</v>
      </c>
      <c r="U15" s="201"/>
      <c r="V15" s="208" t="s">
        <v>23</v>
      </c>
      <c r="W15" s="201"/>
      <c r="X15" s="201"/>
      <c r="Y15" s="201"/>
      <c r="Z15" s="207"/>
      <c r="AA15" s="202"/>
      <c r="AB15" s="201"/>
      <c r="AC15" s="201"/>
      <c r="AD15" s="223" t="s">
        <v>115</v>
      </c>
      <c r="AE15" s="223"/>
      <c r="AF15" s="223"/>
      <c r="AG15" s="223"/>
      <c r="AH15" s="223"/>
      <c r="AI15" s="223"/>
      <c r="AJ15" s="224"/>
      <c r="AK15" s="224"/>
      <c r="AL15" s="209"/>
    </row>
    <row r="16" spans="1:38" ht="5.25" customHeight="1">
      <c r="A16" s="225"/>
      <c r="B16" s="211"/>
      <c r="C16" s="211"/>
      <c r="D16" s="212"/>
      <c r="E16" s="212"/>
      <c r="F16" s="212"/>
      <c r="G16" s="212"/>
      <c r="H16" s="212"/>
      <c r="I16" s="214"/>
      <c r="J16" s="214"/>
      <c r="K16" s="214"/>
      <c r="L16" s="214"/>
      <c r="M16" s="212"/>
      <c r="N16" s="212"/>
      <c r="O16" s="212"/>
      <c r="P16" s="212"/>
      <c r="Q16" s="212"/>
      <c r="R16" s="212"/>
      <c r="S16" s="212"/>
      <c r="T16" s="211"/>
      <c r="U16" s="212"/>
      <c r="V16" s="217"/>
      <c r="W16" s="212"/>
      <c r="X16" s="212"/>
      <c r="Y16" s="212"/>
      <c r="Z16" s="215"/>
      <c r="AA16" s="202"/>
      <c r="AB16" s="201"/>
      <c r="AC16" s="201"/>
      <c r="AD16" s="226"/>
      <c r="AE16" s="226"/>
      <c r="AF16" s="226"/>
      <c r="AG16" s="226"/>
      <c r="AH16" s="226"/>
      <c r="AI16" s="226"/>
      <c r="AJ16" s="200"/>
      <c r="AK16" s="200"/>
      <c r="AL16" s="209"/>
    </row>
    <row r="17" spans="1:38" ht="14.25" customHeight="1">
      <c r="A17" s="227"/>
      <c r="B17" s="194"/>
      <c r="C17" s="194"/>
      <c r="D17" s="196">
        <v>13</v>
      </c>
      <c r="E17" s="193" t="s">
        <v>116</v>
      </c>
      <c r="F17" s="194"/>
      <c r="G17" s="194"/>
      <c r="H17" s="194"/>
      <c r="I17" s="194"/>
      <c r="J17" s="194"/>
      <c r="K17" s="194"/>
      <c r="L17" s="194"/>
      <c r="M17" s="194"/>
      <c r="N17" s="194"/>
      <c r="O17" s="193" t="s">
        <v>40</v>
      </c>
      <c r="P17" s="194"/>
      <c r="Q17" s="194"/>
      <c r="R17" s="194"/>
      <c r="S17" s="194"/>
      <c r="T17" s="194"/>
      <c r="U17" s="194"/>
      <c r="V17" s="194"/>
      <c r="W17" s="194"/>
      <c r="X17" s="194"/>
      <c r="Y17" s="194"/>
      <c r="Z17" s="197"/>
      <c r="AA17" s="202"/>
      <c r="AB17" s="201"/>
      <c r="AC17" s="201"/>
      <c r="AD17" s="201"/>
      <c r="AE17" s="201"/>
      <c r="AF17" s="201"/>
      <c r="AG17" s="201"/>
      <c r="AH17" s="201"/>
      <c r="AI17" s="201"/>
      <c r="AJ17" s="201"/>
      <c r="AK17" s="201"/>
      <c r="AL17" s="209"/>
    </row>
    <row r="18" spans="1:38" ht="14.25" customHeight="1">
      <c r="A18" s="221"/>
      <c r="B18" s="201"/>
      <c r="C18" s="201"/>
      <c r="D18" s="201"/>
      <c r="E18" s="228"/>
      <c r="F18" s="228"/>
      <c r="G18" s="228"/>
      <c r="H18" s="228"/>
      <c r="I18" s="201"/>
      <c r="J18" s="201"/>
      <c r="K18" s="201"/>
      <c r="L18" s="201"/>
      <c r="M18" s="201"/>
      <c r="N18" s="229"/>
      <c r="O18" s="229"/>
      <c r="P18" s="229"/>
      <c r="Q18" s="229"/>
      <c r="R18" s="176" t="s">
        <v>93</v>
      </c>
      <c r="S18" s="177"/>
      <c r="T18" s="173"/>
      <c r="U18" s="201"/>
      <c r="V18" s="201"/>
      <c r="W18" s="201"/>
      <c r="X18" s="201"/>
      <c r="Y18" s="201"/>
      <c r="Z18" s="207"/>
      <c r="AA18" s="202"/>
      <c r="AB18" s="201"/>
      <c r="AC18" s="200" t="s">
        <v>114</v>
      </c>
      <c r="AD18" s="222" t="s">
        <v>117</v>
      </c>
      <c r="AE18" s="222"/>
      <c r="AF18" s="222"/>
      <c r="AG18" s="222"/>
      <c r="AH18" s="222"/>
      <c r="AI18" s="222"/>
      <c r="AJ18" s="199" t="s">
        <v>93</v>
      </c>
      <c r="AK18" s="200"/>
      <c r="AL18" s="209"/>
    </row>
    <row r="19" spans="1:38" ht="6.75" customHeight="1">
      <c r="A19" s="225"/>
      <c r="B19" s="212"/>
      <c r="C19" s="212"/>
      <c r="D19" s="212"/>
      <c r="E19" s="230"/>
      <c r="F19" s="230"/>
      <c r="G19" s="230"/>
      <c r="H19" s="230"/>
      <c r="I19" s="212"/>
      <c r="J19" s="212"/>
      <c r="K19" s="212"/>
      <c r="L19" s="212"/>
      <c r="M19" s="212"/>
      <c r="N19" s="230"/>
      <c r="O19" s="230"/>
      <c r="P19" s="230"/>
      <c r="Q19" s="230"/>
      <c r="R19" s="231"/>
      <c r="S19" s="231"/>
      <c r="T19" s="232"/>
      <c r="U19" s="212"/>
      <c r="V19" s="212"/>
      <c r="W19" s="212"/>
      <c r="X19" s="212"/>
      <c r="Y19" s="212"/>
      <c r="Z19" s="215"/>
      <c r="AA19" s="202"/>
      <c r="AB19" s="201"/>
      <c r="AC19" s="200"/>
      <c r="AD19" s="226"/>
      <c r="AE19" s="226"/>
      <c r="AF19" s="226"/>
      <c r="AG19" s="226"/>
      <c r="AH19" s="226"/>
      <c r="AI19" s="226"/>
      <c r="AJ19" s="200"/>
      <c r="AK19" s="200"/>
      <c r="AL19" s="209"/>
    </row>
    <row r="20" spans="1:38" ht="14.25" customHeight="1">
      <c r="A20" s="233">
        <v>15</v>
      </c>
      <c r="B20" s="172" t="s">
        <v>118</v>
      </c>
      <c r="C20" s="201"/>
      <c r="D20" s="201"/>
      <c r="E20" s="201"/>
      <c r="F20" s="201"/>
      <c r="G20" s="201"/>
      <c r="H20" s="201"/>
      <c r="I20" s="172" t="s">
        <v>17</v>
      </c>
      <c r="J20" s="201"/>
      <c r="K20" s="201"/>
      <c r="L20" s="201"/>
      <c r="M20" s="201"/>
      <c r="N20" s="172" t="s">
        <v>39</v>
      </c>
      <c r="O20" s="201"/>
      <c r="P20" s="201"/>
      <c r="Q20" s="201"/>
      <c r="R20" s="201"/>
      <c r="S20" s="201"/>
      <c r="T20" s="201"/>
      <c r="U20" s="201"/>
      <c r="V20" s="201"/>
      <c r="W20" s="201"/>
      <c r="X20" s="201"/>
      <c r="Y20" s="201"/>
      <c r="Z20" s="201"/>
      <c r="AA20" s="190"/>
      <c r="AB20" s="190"/>
      <c r="AC20" s="190"/>
      <c r="AD20" s="190"/>
      <c r="AE20" s="190"/>
      <c r="AF20" s="190"/>
      <c r="AG20" s="190"/>
      <c r="AH20" s="190"/>
      <c r="AI20" s="190"/>
      <c r="AJ20" s="190"/>
      <c r="AK20" s="190"/>
      <c r="AL20" s="191"/>
    </row>
    <row r="21" spans="1:40" ht="14.25" customHeight="1">
      <c r="A21" s="221"/>
      <c r="B21" s="208" t="s">
        <v>119</v>
      </c>
      <c r="C21" s="208"/>
      <c r="D21" s="208"/>
      <c r="E21" s="208"/>
      <c r="F21" s="208"/>
      <c r="G21" s="201"/>
      <c r="H21" s="234" t="s">
        <v>103</v>
      </c>
      <c r="I21" s="235" t="s">
        <v>58</v>
      </c>
      <c r="J21" s="235"/>
      <c r="K21" s="235"/>
      <c r="L21" s="235"/>
      <c r="M21" s="201"/>
      <c r="N21" s="236"/>
      <c r="O21" s="236"/>
      <c r="P21" s="236"/>
      <c r="Q21" s="236"/>
      <c r="R21" s="236"/>
      <c r="S21" s="236"/>
      <c r="T21" s="236"/>
      <c r="U21" s="236"/>
      <c r="V21" s="236"/>
      <c r="W21" s="236"/>
      <c r="X21" s="236"/>
      <c r="Y21" s="236"/>
      <c r="Z21" s="236"/>
      <c r="AA21" s="236"/>
      <c r="AB21" s="236"/>
      <c r="AC21" s="236"/>
      <c r="AD21" s="236"/>
      <c r="AE21" s="236"/>
      <c r="AF21" s="236"/>
      <c r="AG21" s="236"/>
      <c r="AH21" s="236"/>
      <c r="AI21" s="236"/>
      <c r="AJ21" s="236"/>
      <c r="AK21" s="236"/>
      <c r="AL21" s="236"/>
      <c r="AN21" s="224"/>
    </row>
    <row r="22" spans="1:38" ht="14.25" customHeight="1">
      <c r="A22" s="237"/>
      <c r="B22" s="237"/>
      <c r="C22" s="237"/>
      <c r="D22" s="237"/>
      <c r="E22" s="237"/>
      <c r="F22" s="237"/>
      <c r="G22" s="237"/>
      <c r="H22" s="237"/>
      <c r="I22" s="237"/>
      <c r="J22" s="237"/>
      <c r="K22" s="237"/>
      <c r="L22" s="237"/>
      <c r="M22" s="237"/>
      <c r="N22" s="237"/>
      <c r="O22" s="237"/>
      <c r="P22" s="237"/>
      <c r="Q22" s="237"/>
      <c r="R22" s="237"/>
      <c r="S22" s="237"/>
      <c r="T22" s="237"/>
      <c r="U22" s="237"/>
      <c r="V22" s="237"/>
      <c r="W22" s="237"/>
      <c r="X22" s="237"/>
      <c r="Y22" s="237"/>
      <c r="Z22" s="237"/>
      <c r="AA22" s="237"/>
      <c r="AB22" s="237"/>
      <c r="AC22" s="237"/>
      <c r="AD22" s="237"/>
      <c r="AE22" s="237"/>
      <c r="AF22" s="237"/>
      <c r="AG22" s="237"/>
      <c r="AH22" s="237"/>
      <c r="AI22" s="237"/>
      <c r="AJ22" s="237"/>
      <c r="AK22" s="237"/>
      <c r="AL22" s="237"/>
    </row>
    <row r="23" spans="1:38" ht="14.25" customHeight="1">
      <c r="A23" s="237"/>
      <c r="B23" s="237"/>
      <c r="C23" s="237"/>
      <c r="D23" s="237"/>
      <c r="E23" s="237"/>
      <c r="F23" s="237"/>
      <c r="G23" s="237"/>
      <c r="H23" s="237"/>
      <c r="I23" s="237"/>
      <c r="J23" s="237"/>
      <c r="K23" s="237"/>
      <c r="L23" s="237"/>
      <c r="M23" s="237"/>
      <c r="N23" s="237"/>
      <c r="O23" s="237"/>
      <c r="P23" s="237"/>
      <c r="Q23" s="237"/>
      <c r="R23" s="237"/>
      <c r="S23" s="237"/>
      <c r="T23" s="237"/>
      <c r="U23" s="237"/>
      <c r="V23" s="237"/>
      <c r="W23" s="237"/>
      <c r="X23" s="237"/>
      <c r="Y23" s="237"/>
      <c r="Z23" s="237"/>
      <c r="AA23" s="237"/>
      <c r="AB23" s="237"/>
      <c r="AC23" s="237"/>
      <c r="AD23" s="237"/>
      <c r="AE23" s="237"/>
      <c r="AF23" s="237"/>
      <c r="AG23" s="237"/>
      <c r="AH23" s="237"/>
      <c r="AI23" s="237"/>
      <c r="AJ23" s="237"/>
      <c r="AK23" s="237"/>
      <c r="AL23" s="237"/>
    </row>
    <row r="24" spans="1:38" ht="14.25" customHeight="1">
      <c r="A24" s="237"/>
      <c r="B24" s="237"/>
      <c r="C24" s="237"/>
      <c r="D24" s="237"/>
      <c r="E24" s="237"/>
      <c r="F24" s="237"/>
      <c r="G24" s="237"/>
      <c r="H24" s="237"/>
      <c r="I24" s="237"/>
      <c r="J24" s="237"/>
      <c r="K24" s="237"/>
      <c r="L24" s="237"/>
      <c r="M24" s="237"/>
      <c r="N24" s="237"/>
      <c r="O24" s="237"/>
      <c r="P24" s="237"/>
      <c r="Q24" s="237"/>
      <c r="R24" s="237"/>
      <c r="S24" s="237"/>
      <c r="T24" s="237"/>
      <c r="U24" s="237"/>
      <c r="V24" s="237"/>
      <c r="W24" s="237"/>
      <c r="X24" s="237"/>
      <c r="Y24" s="237"/>
      <c r="Z24" s="237"/>
      <c r="AA24" s="237"/>
      <c r="AB24" s="237"/>
      <c r="AC24" s="237"/>
      <c r="AD24" s="237"/>
      <c r="AE24" s="237"/>
      <c r="AF24" s="237"/>
      <c r="AG24" s="237"/>
      <c r="AH24" s="237"/>
      <c r="AI24" s="237"/>
      <c r="AJ24" s="237"/>
      <c r="AK24" s="237"/>
      <c r="AL24" s="237"/>
    </row>
    <row r="25" spans="1:38" ht="14.25" customHeight="1">
      <c r="A25" s="238"/>
      <c r="B25" s="238"/>
      <c r="C25" s="238"/>
      <c r="D25" s="238"/>
      <c r="E25" s="238"/>
      <c r="F25" s="238"/>
      <c r="G25" s="238"/>
      <c r="H25" s="238"/>
      <c r="I25" s="238"/>
      <c r="J25" s="238"/>
      <c r="K25" s="238"/>
      <c r="L25" s="238"/>
      <c r="M25" s="238"/>
      <c r="N25" s="238"/>
      <c r="O25" s="238"/>
      <c r="P25" s="238"/>
      <c r="Q25" s="238"/>
      <c r="R25" s="238"/>
      <c r="S25" s="238"/>
      <c r="T25" s="238"/>
      <c r="U25" s="238"/>
      <c r="V25" s="238"/>
      <c r="W25" s="238"/>
      <c r="X25" s="238"/>
      <c r="Y25" s="238"/>
      <c r="Z25" s="238"/>
      <c r="AA25" s="238"/>
      <c r="AB25" s="238"/>
      <c r="AC25" s="238"/>
      <c r="AD25" s="238"/>
      <c r="AE25" s="238"/>
      <c r="AF25" s="238"/>
      <c r="AG25" s="238"/>
      <c r="AH25" s="238"/>
      <c r="AI25" s="238"/>
      <c r="AJ25" s="199" t="s">
        <v>120</v>
      </c>
      <c r="AK25" s="200"/>
      <c r="AL25" s="209"/>
    </row>
    <row r="26" spans="1:38" ht="4.5" customHeight="1">
      <c r="A26" s="239"/>
      <c r="B26" s="240"/>
      <c r="C26" s="240"/>
      <c r="D26" s="240"/>
      <c r="E26" s="240"/>
      <c r="F26" s="240"/>
      <c r="G26" s="240"/>
      <c r="H26" s="240"/>
      <c r="I26" s="240"/>
      <c r="J26" s="240"/>
      <c r="K26" s="240"/>
      <c r="L26" s="240"/>
      <c r="M26" s="240"/>
      <c r="N26" s="240"/>
      <c r="O26" s="240"/>
      <c r="P26" s="240"/>
      <c r="Q26" s="240"/>
      <c r="R26" s="240"/>
      <c r="S26" s="240"/>
      <c r="T26" s="240"/>
      <c r="U26" s="240"/>
      <c r="V26" s="240"/>
      <c r="W26" s="240"/>
      <c r="X26" s="240"/>
      <c r="Y26" s="240"/>
      <c r="Z26" s="240"/>
      <c r="AA26" s="240"/>
      <c r="AB26" s="240"/>
      <c r="AC26" s="240"/>
      <c r="AD26" s="240"/>
      <c r="AE26" s="240"/>
      <c r="AF26" s="240"/>
      <c r="AG26" s="240"/>
      <c r="AH26" s="240"/>
      <c r="AI26" s="240"/>
      <c r="AJ26" s="200"/>
      <c r="AK26" s="200"/>
      <c r="AL26" s="209"/>
    </row>
    <row r="27" spans="1:38" ht="14.25" customHeight="1">
      <c r="A27" s="221"/>
      <c r="B27" s="201"/>
      <c r="C27" s="201"/>
      <c r="D27" s="201"/>
      <c r="E27" s="201"/>
      <c r="F27" s="201"/>
      <c r="G27" s="201"/>
      <c r="H27" s="201"/>
      <c r="I27" s="201"/>
      <c r="J27" s="201"/>
      <c r="K27" s="201"/>
      <c r="L27" s="201"/>
      <c r="M27" s="201"/>
      <c r="N27" s="172" t="s">
        <v>121</v>
      </c>
      <c r="O27" s="201"/>
      <c r="P27" s="201"/>
      <c r="Q27" s="201"/>
      <c r="R27" s="201"/>
      <c r="S27" s="201"/>
      <c r="T27" s="201"/>
      <c r="U27" s="201"/>
      <c r="V27" s="201"/>
      <c r="W27" s="201"/>
      <c r="X27" s="201"/>
      <c r="Y27" s="201"/>
      <c r="Z27" s="201"/>
      <c r="AA27" s="201"/>
      <c r="AB27" s="201"/>
      <c r="AC27" s="201"/>
      <c r="AD27" s="201"/>
      <c r="AE27" s="201"/>
      <c r="AF27" s="201"/>
      <c r="AG27" s="201"/>
      <c r="AH27" s="201"/>
      <c r="AI27" s="201"/>
      <c r="AJ27" s="201"/>
      <c r="AK27" s="201"/>
      <c r="AL27" s="209"/>
    </row>
    <row r="28" spans="1:38" ht="14.25" customHeight="1">
      <c r="A28" s="221"/>
      <c r="B28" s="201"/>
      <c r="C28" s="201"/>
      <c r="D28" s="241" t="s">
        <v>122</v>
      </c>
      <c r="E28" s="201"/>
      <c r="F28" s="201"/>
      <c r="G28" s="201"/>
      <c r="H28" s="201"/>
      <c r="I28" s="201"/>
      <c r="J28" s="201"/>
      <c r="K28" s="201"/>
      <c r="L28" s="201"/>
      <c r="M28" s="201"/>
      <c r="N28" s="242" t="s">
        <v>123</v>
      </c>
      <c r="O28" s="243" t="s">
        <v>106</v>
      </c>
      <c r="P28" s="243"/>
      <c r="Q28" s="244"/>
      <c r="R28" s="201"/>
      <c r="S28" s="201"/>
      <c r="T28" s="201"/>
      <c r="U28" s="172" t="s">
        <v>124</v>
      </c>
      <c r="V28" s="201"/>
      <c r="W28" s="201"/>
      <c r="X28" s="201"/>
      <c r="Y28" s="201"/>
      <c r="Z28" s="201"/>
      <c r="AA28" s="201"/>
      <c r="AB28" s="201"/>
      <c r="AC28" s="224"/>
      <c r="AD28" s="201"/>
      <c r="AE28" s="172" t="s">
        <v>125</v>
      </c>
      <c r="AF28" s="201"/>
      <c r="AG28" s="201"/>
      <c r="AH28" s="201"/>
      <c r="AI28" s="201"/>
      <c r="AJ28" s="201"/>
      <c r="AK28" s="201"/>
      <c r="AL28" s="209"/>
    </row>
    <row r="29" spans="1:38" ht="14.25" customHeight="1">
      <c r="A29" s="221"/>
      <c r="B29" s="201"/>
      <c r="C29" s="201"/>
      <c r="D29" s="201"/>
      <c r="E29" s="228"/>
      <c r="F29" s="228"/>
      <c r="G29" s="228"/>
      <c r="H29" s="228"/>
      <c r="I29" s="201"/>
      <c r="J29" s="201"/>
      <c r="K29" s="201"/>
      <c r="L29" s="201"/>
      <c r="M29" s="201"/>
      <c r="N29" s="228"/>
      <c r="O29" s="228"/>
      <c r="P29" s="228"/>
      <c r="Q29" s="228"/>
      <c r="R29" s="201"/>
      <c r="S29" s="201"/>
      <c r="T29" s="201"/>
      <c r="U29" s="201"/>
      <c r="V29" s="201"/>
      <c r="W29" s="228"/>
      <c r="X29" s="228"/>
      <c r="Y29" s="228"/>
      <c r="Z29" s="228"/>
      <c r="AA29" s="201"/>
      <c r="AB29" s="201"/>
      <c r="AC29" s="201"/>
      <c r="AD29" s="201"/>
      <c r="AE29" s="201"/>
      <c r="AF29" s="229"/>
      <c r="AG29" s="229"/>
      <c r="AH29" s="229"/>
      <c r="AI29" s="229"/>
      <c r="AJ29" s="199" t="s">
        <v>93</v>
      </c>
      <c r="AK29" s="200"/>
      <c r="AL29" s="209"/>
    </row>
    <row r="30" spans="1:38" ht="14.25" customHeight="1">
      <c r="A30" s="233">
        <v>18</v>
      </c>
      <c r="B30" s="172" t="s">
        <v>126</v>
      </c>
      <c r="C30" s="201"/>
      <c r="D30" s="201"/>
      <c r="E30" s="201"/>
      <c r="F30" s="201"/>
      <c r="G30" s="201"/>
      <c r="H30" s="201"/>
      <c r="I30" s="201"/>
      <c r="J30" s="201"/>
      <c r="K30" s="201"/>
      <c r="L30" s="201"/>
      <c r="M30" s="201"/>
      <c r="N30" s="201"/>
      <c r="O30" s="201"/>
      <c r="P30" s="201"/>
      <c r="Q30" s="201"/>
      <c r="R30" s="201"/>
      <c r="S30" s="201"/>
      <c r="T30" s="201"/>
      <c r="U30" s="201"/>
      <c r="V30" s="201"/>
      <c r="W30" s="201"/>
      <c r="X30" s="201"/>
      <c r="Y30" s="201"/>
      <c r="Z30" s="201"/>
      <c r="AA30" s="201"/>
      <c r="AB30" s="201"/>
      <c r="AC30" s="201"/>
      <c r="AD30" s="201"/>
      <c r="AE30" s="201"/>
      <c r="AF30" s="201"/>
      <c r="AG30" s="201"/>
      <c r="AH30" s="201"/>
      <c r="AI30" s="201"/>
      <c r="AJ30" s="201"/>
      <c r="AK30" s="201"/>
      <c r="AL30" s="209"/>
    </row>
    <row r="31" spans="1:38" ht="14.25" customHeight="1">
      <c r="A31" s="221"/>
      <c r="B31" s="236" t="s">
        <v>127</v>
      </c>
      <c r="C31" s="236"/>
      <c r="D31" s="236"/>
      <c r="E31" s="236"/>
      <c r="F31" s="236"/>
      <c r="G31" s="236"/>
      <c r="H31" s="236"/>
      <c r="I31" s="236"/>
      <c r="J31" s="236"/>
      <c r="K31" s="236"/>
      <c r="L31" s="236"/>
      <c r="M31" s="236"/>
      <c r="N31" s="236"/>
      <c r="O31" s="236"/>
      <c r="P31" s="236"/>
      <c r="Q31" s="236"/>
      <c r="R31" s="236"/>
      <c r="S31" s="236"/>
      <c r="T31" s="236"/>
      <c r="U31" s="236"/>
      <c r="V31" s="236"/>
      <c r="W31" s="236"/>
      <c r="X31" s="236"/>
      <c r="Y31" s="236"/>
      <c r="Z31" s="236"/>
      <c r="AA31" s="236"/>
      <c r="AB31" s="236"/>
      <c r="AC31" s="236"/>
      <c r="AD31" s="236"/>
      <c r="AE31" s="236"/>
      <c r="AF31" s="236"/>
      <c r="AG31" s="236"/>
      <c r="AH31" s="236"/>
      <c r="AI31" s="236"/>
      <c r="AJ31" s="236"/>
      <c r="AK31" s="236"/>
      <c r="AL31" s="236"/>
    </row>
    <row r="32" spans="1:38" ht="14.25" customHeight="1">
      <c r="A32" s="245"/>
      <c r="B32" s="245"/>
      <c r="C32" s="245"/>
      <c r="D32" s="245"/>
      <c r="E32" s="245"/>
      <c r="F32" s="245"/>
      <c r="G32" s="245"/>
      <c r="H32" s="245"/>
      <c r="I32" s="245"/>
      <c r="J32" s="245"/>
      <c r="K32" s="245"/>
      <c r="L32" s="245"/>
      <c r="M32" s="245"/>
      <c r="N32" s="245"/>
      <c r="O32" s="245"/>
      <c r="P32" s="245"/>
      <c r="Q32" s="245"/>
      <c r="R32" s="245"/>
      <c r="S32" s="246"/>
      <c r="T32" s="246"/>
      <c r="U32" s="246"/>
      <c r="V32" s="246"/>
      <c r="W32" s="246"/>
      <c r="X32" s="246"/>
      <c r="Y32" s="246"/>
      <c r="Z32" s="246"/>
      <c r="AA32" s="246"/>
      <c r="AB32" s="246"/>
      <c r="AC32" s="246"/>
      <c r="AD32" s="246"/>
      <c r="AE32" s="246"/>
      <c r="AF32" s="246"/>
      <c r="AG32" s="246"/>
      <c r="AH32" s="246"/>
      <c r="AI32" s="246"/>
      <c r="AJ32" s="246"/>
      <c r="AK32" s="246"/>
      <c r="AL32" s="247"/>
    </row>
    <row r="33" spans="1:38" ht="14.25" customHeight="1">
      <c r="A33" s="237"/>
      <c r="B33" s="237"/>
      <c r="C33" s="237"/>
      <c r="D33" s="237"/>
      <c r="E33" s="237"/>
      <c r="F33" s="237"/>
      <c r="G33" s="237"/>
      <c r="H33" s="237"/>
      <c r="I33" s="237"/>
      <c r="J33" s="237"/>
      <c r="K33" s="237"/>
      <c r="L33" s="237"/>
      <c r="M33" s="237"/>
      <c r="N33" s="237"/>
      <c r="O33" s="237"/>
      <c r="P33" s="237"/>
      <c r="Q33" s="237"/>
      <c r="R33" s="237"/>
      <c r="S33" s="237"/>
      <c r="T33" s="237"/>
      <c r="U33" s="237"/>
      <c r="V33" s="237"/>
      <c r="W33" s="237"/>
      <c r="X33" s="237"/>
      <c r="Y33" s="237"/>
      <c r="Z33" s="237"/>
      <c r="AA33" s="237"/>
      <c r="AB33" s="237"/>
      <c r="AC33" s="237"/>
      <c r="AD33" s="237"/>
      <c r="AE33" s="237"/>
      <c r="AF33" s="237"/>
      <c r="AG33" s="237"/>
      <c r="AH33" s="237"/>
      <c r="AI33" s="237"/>
      <c r="AJ33" s="237"/>
      <c r="AK33" s="237"/>
      <c r="AL33" s="237"/>
    </row>
    <row r="34" spans="1:38" ht="14.25" customHeight="1">
      <c r="A34" s="248"/>
      <c r="B34" s="248"/>
      <c r="C34" s="248"/>
      <c r="D34" s="248"/>
      <c r="E34" s="248"/>
      <c r="F34" s="248"/>
      <c r="G34" s="248"/>
      <c r="H34" s="248"/>
      <c r="I34" s="248"/>
      <c r="J34" s="248"/>
      <c r="K34" s="248"/>
      <c r="L34" s="248"/>
      <c r="M34" s="248"/>
      <c r="N34" s="248"/>
      <c r="O34" s="248"/>
      <c r="P34" s="248"/>
      <c r="Q34" s="248"/>
      <c r="R34" s="248"/>
      <c r="S34" s="248"/>
      <c r="T34" s="248"/>
      <c r="U34" s="248"/>
      <c r="V34" s="248"/>
      <c r="W34" s="248"/>
      <c r="X34" s="248"/>
      <c r="Y34" s="248"/>
      <c r="Z34" s="248"/>
      <c r="AA34" s="248"/>
      <c r="AB34" s="248"/>
      <c r="AC34" s="248"/>
      <c r="AD34" s="248"/>
      <c r="AE34" s="248"/>
      <c r="AF34" s="248"/>
      <c r="AG34" s="248"/>
      <c r="AH34" s="248"/>
      <c r="AI34" s="248"/>
      <c r="AJ34" s="199" t="s">
        <v>128</v>
      </c>
      <c r="AK34" s="200"/>
      <c r="AL34" s="209"/>
    </row>
    <row r="35" spans="1:38" ht="15.75" customHeight="1">
      <c r="A35" s="249">
        <v>19</v>
      </c>
      <c r="B35" s="190"/>
      <c r="C35" s="250" t="s">
        <v>129</v>
      </c>
      <c r="D35" s="190"/>
      <c r="E35" s="190"/>
      <c r="F35" s="190"/>
      <c r="G35" s="190"/>
      <c r="H35" s="190"/>
      <c r="I35" s="183"/>
      <c r="J35" s="190"/>
      <c r="K35" s="190"/>
      <c r="L35" s="190"/>
      <c r="M35" s="190"/>
      <c r="N35" s="190"/>
      <c r="O35" s="190"/>
      <c r="P35" s="190"/>
      <c r="Q35" s="190"/>
      <c r="R35" s="190"/>
      <c r="S35" s="190"/>
      <c r="T35" s="190"/>
      <c r="U35" s="190"/>
      <c r="V35" s="190"/>
      <c r="W35" s="190"/>
      <c r="X35" s="190"/>
      <c r="Y35" s="190"/>
      <c r="Z35" s="190"/>
      <c r="AA35" s="190"/>
      <c r="AB35" s="190"/>
      <c r="AC35" s="190"/>
      <c r="AD35" s="190"/>
      <c r="AE35" s="190"/>
      <c r="AF35" s="190"/>
      <c r="AG35" s="190"/>
      <c r="AH35" s="190"/>
      <c r="AI35" s="190"/>
      <c r="AJ35" s="190"/>
      <c r="AK35" s="190"/>
      <c r="AL35" s="209"/>
    </row>
    <row r="36" spans="1:38" ht="15.75" customHeight="1">
      <c r="A36" s="171"/>
      <c r="B36" s="201"/>
      <c r="C36" s="201"/>
      <c r="D36" s="201"/>
      <c r="E36" s="172" t="s">
        <v>130</v>
      </c>
      <c r="F36" s="201"/>
      <c r="G36" s="201"/>
      <c r="H36" s="201"/>
      <c r="I36" s="202"/>
      <c r="J36" s="201"/>
      <c r="K36" s="201"/>
      <c r="L36" s="172" t="s">
        <v>131</v>
      </c>
      <c r="M36" s="201"/>
      <c r="N36" s="201"/>
      <c r="O36" s="201"/>
      <c r="P36" s="201"/>
      <c r="Q36" s="201"/>
      <c r="R36" s="201"/>
      <c r="S36" s="207"/>
      <c r="T36" s="201"/>
      <c r="U36" s="201"/>
      <c r="V36" s="201"/>
      <c r="W36" s="172" t="s">
        <v>132</v>
      </c>
      <c r="X36" s="201"/>
      <c r="Y36" s="201"/>
      <c r="Z36" s="201"/>
      <c r="AA36" s="201"/>
      <c r="AB36" s="201"/>
      <c r="AC36" s="224"/>
      <c r="AD36" s="201"/>
      <c r="AE36" s="201"/>
      <c r="AF36" s="201"/>
      <c r="AG36" s="201"/>
      <c r="AH36" s="201"/>
      <c r="AI36" s="201"/>
      <c r="AJ36" s="201"/>
      <c r="AK36" s="201"/>
      <c r="AL36" s="198"/>
    </row>
    <row r="37" spans="1:38" ht="11.25" customHeight="1">
      <c r="A37" s="221"/>
      <c r="B37" s="201"/>
      <c r="C37" s="201"/>
      <c r="D37" s="242" t="s">
        <v>123</v>
      </c>
      <c r="E37" s="243" t="s">
        <v>106</v>
      </c>
      <c r="F37" s="251" t="s">
        <v>133</v>
      </c>
      <c r="G37" s="244"/>
      <c r="H37" s="201"/>
      <c r="I37" s="202"/>
      <c r="J37" s="201"/>
      <c r="K37" s="201"/>
      <c r="L37" s="224"/>
      <c r="M37" s="201"/>
      <c r="N37" s="201"/>
      <c r="O37" s="201"/>
      <c r="P37" s="201"/>
      <c r="Q37" s="201"/>
      <c r="R37" s="201"/>
      <c r="S37" s="207"/>
      <c r="T37" s="201"/>
      <c r="U37" s="201"/>
      <c r="V37" s="201"/>
      <c r="W37" s="201"/>
      <c r="X37" s="201"/>
      <c r="Y37" s="201"/>
      <c r="Z37" s="201"/>
      <c r="AA37" s="201"/>
      <c r="AB37" s="172" t="s">
        <v>134</v>
      </c>
      <c r="AC37" s="173"/>
      <c r="AD37" s="201"/>
      <c r="AE37" s="241" t="s">
        <v>135</v>
      </c>
      <c r="AF37" s="173"/>
      <c r="AG37" s="201"/>
      <c r="AH37" s="172" t="s">
        <v>136</v>
      </c>
      <c r="AI37" s="172"/>
      <c r="AJ37" s="201"/>
      <c r="AK37" s="201"/>
      <c r="AL37" s="209"/>
    </row>
    <row r="38" spans="1:38" ht="14.25" customHeight="1">
      <c r="A38" s="221"/>
      <c r="B38" s="201" t="s">
        <v>137</v>
      </c>
      <c r="C38" s="201" t="s">
        <v>114</v>
      </c>
      <c r="D38" s="252"/>
      <c r="E38" s="252"/>
      <c r="F38" s="253"/>
      <c r="G38" s="254"/>
      <c r="H38" s="201"/>
      <c r="I38" s="202"/>
      <c r="J38" s="201"/>
      <c r="K38" s="201" t="s">
        <v>104</v>
      </c>
      <c r="L38" s="201" t="s">
        <v>114</v>
      </c>
      <c r="M38" s="255">
        <v>0</v>
      </c>
      <c r="N38" s="256">
        <v>0</v>
      </c>
      <c r="O38" s="254"/>
      <c r="P38" s="201"/>
      <c r="Q38" s="201"/>
      <c r="R38" s="201"/>
      <c r="S38" s="207"/>
      <c r="T38" s="201"/>
      <c r="U38" s="201"/>
      <c r="V38" s="201"/>
      <c r="W38" s="201"/>
      <c r="X38" s="201"/>
      <c r="Y38" s="201"/>
      <c r="Z38" s="201"/>
      <c r="AA38" s="201" t="s">
        <v>106</v>
      </c>
      <c r="AB38" s="201" t="s">
        <v>114</v>
      </c>
      <c r="AC38" s="257" t="s">
        <v>138</v>
      </c>
      <c r="AD38" s="201"/>
      <c r="AE38" s="201"/>
      <c r="AF38" s="257" t="s">
        <v>108</v>
      </c>
      <c r="AG38" s="201"/>
      <c r="AH38" s="201"/>
      <c r="AI38" s="257" t="s">
        <v>137</v>
      </c>
      <c r="AJ38" s="201"/>
      <c r="AK38" s="201"/>
      <c r="AL38" s="209"/>
    </row>
    <row r="39" spans="1:38" ht="5.25" customHeight="1">
      <c r="A39" s="225"/>
      <c r="B39" s="212"/>
      <c r="C39" s="212"/>
      <c r="D39" s="258"/>
      <c r="E39" s="258"/>
      <c r="F39" s="259"/>
      <c r="G39" s="259"/>
      <c r="H39" s="212"/>
      <c r="I39" s="213"/>
      <c r="J39" s="212"/>
      <c r="K39" s="212"/>
      <c r="L39" s="212"/>
      <c r="M39" s="214"/>
      <c r="N39" s="214"/>
      <c r="O39" s="259"/>
      <c r="P39" s="212"/>
      <c r="Q39" s="212"/>
      <c r="R39" s="212"/>
      <c r="S39" s="215"/>
      <c r="T39" s="212"/>
      <c r="U39" s="212"/>
      <c r="V39" s="212"/>
      <c r="W39" s="212"/>
      <c r="X39" s="212"/>
      <c r="Y39" s="212"/>
      <c r="Z39" s="212"/>
      <c r="AA39" s="212"/>
      <c r="AB39" s="212"/>
      <c r="AC39" s="212"/>
      <c r="AD39" s="212"/>
      <c r="AE39" s="212"/>
      <c r="AF39" s="212"/>
      <c r="AG39" s="212"/>
      <c r="AH39" s="212"/>
      <c r="AI39" s="212"/>
      <c r="AJ39" s="212"/>
      <c r="AK39" s="212"/>
      <c r="AL39" s="218"/>
    </row>
    <row r="40" spans="1:38" ht="14.25" customHeight="1">
      <c r="A40" s="227"/>
      <c r="B40" s="194"/>
      <c r="C40" s="194"/>
      <c r="D40" s="193" t="s">
        <v>139</v>
      </c>
      <c r="E40" s="194"/>
      <c r="F40" s="194"/>
      <c r="G40" s="194"/>
      <c r="H40" s="194"/>
      <c r="I40" s="194"/>
      <c r="J40" s="194"/>
      <c r="K40" s="194"/>
      <c r="L40" s="194"/>
      <c r="M40" s="194"/>
      <c r="N40" s="194"/>
      <c r="O40" s="194"/>
      <c r="P40" s="194"/>
      <c r="Q40" s="194"/>
      <c r="R40" s="194"/>
      <c r="S40" s="197"/>
      <c r="T40" s="195"/>
      <c r="U40" s="194"/>
      <c r="V40" s="194"/>
      <c r="W40" s="193" t="s">
        <v>140</v>
      </c>
      <c r="X40" s="194"/>
      <c r="Y40" s="194"/>
      <c r="Z40" s="194"/>
      <c r="AA40" s="194"/>
      <c r="AB40" s="194"/>
      <c r="AC40" s="194"/>
      <c r="AD40" s="194"/>
      <c r="AE40" s="194"/>
      <c r="AF40" s="194"/>
      <c r="AG40" s="194"/>
      <c r="AH40" s="194"/>
      <c r="AI40" s="194"/>
      <c r="AJ40" s="194"/>
      <c r="AK40" s="194"/>
      <c r="AL40" s="198"/>
    </row>
    <row r="41" spans="1:38" s="264" customFormat="1" ht="14.25" customHeight="1">
      <c r="A41" s="260"/>
      <c r="B41" s="172"/>
      <c r="C41" s="172"/>
      <c r="D41" s="172"/>
      <c r="E41" s="172"/>
      <c r="F41" s="172" t="s">
        <v>141</v>
      </c>
      <c r="G41" s="172"/>
      <c r="H41" s="172"/>
      <c r="I41" s="172" t="s">
        <v>142</v>
      </c>
      <c r="J41" s="172"/>
      <c r="K41" s="172"/>
      <c r="L41" s="172" t="s">
        <v>143</v>
      </c>
      <c r="M41" s="172"/>
      <c r="N41" s="172"/>
      <c r="O41" s="172" t="s">
        <v>144</v>
      </c>
      <c r="P41" s="172"/>
      <c r="Q41" s="172"/>
      <c r="R41" s="172"/>
      <c r="S41" s="261"/>
      <c r="T41" s="262"/>
      <c r="U41" s="172"/>
      <c r="V41" s="172"/>
      <c r="W41" s="172"/>
      <c r="X41" s="172"/>
      <c r="Y41" s="172" t="s">
        <v>145</v>
      </c>
      <c r="Z41" s="172"/>
      <c r="AA41" s="172"/>
      <c r="AB41" s="172" t="s">
        <v>146</v>
      </c>
      <c r="AC41" s="172"/>
      <c r="AD41" s="172"/>
      <c r="AE41" s="172" t="s">
        <v>134</v>
      </c>
      <c r="AF41" s="172"/>
      <c r="AG41" s="172"/>
      <c r="AH41" s="172" t="s">
        <v>135</v>
      </c>
      <c r="AI41" s="172"/>
      <c r="AJ41" s="172"/>
      <c r="AK41" s="172"/>
      <c r="AL41" s="263"/>
    </row>
    <row r="42" spans="1:38" ht="14.25" customHeight="1">
      <c r="A42" s="221"/>
      <c r="B42" s="201"/>
      <c r="C42" s="201"/>
      <c r="D42" s="257" t="s">
        <v>115</v>
      </c>
      <c r="E42" s="201" t="s">
        <v>147</v>
      </c>
      <c r="F42" s="201"/>
      <c r="G42" s="257" t="s">
        <v>104</v>
      </c>
      <c r="H42" s="201"/>
      <c r="I42" s="201"/>
      <c r="J42" s="257" t="s">
        <v>148</v>
      </c>
      <c r="K42" s="201"/>
      <c r="L42" s="201"/>
      <c r="M42" s="257" t="s">
        <v>149</v>
      </c>
      <c r="N42" s="201"/>
      <c r="O42" s="201"/>
      <c r="P42" s="257" t="s">
        <v>105</v>
      </c>
      <c r="Q42" s="201"/>
      <c r="R42" s="201"/>
      <c r="S42" s="207"/>
      <c r="T42" s="202"/>
      <c r="U42" s="201"/>
      <c r="V42" s="201"/>
      <c r="W42" s="257" t="s">
        <v>105</v>
      </c>
      <c r="X42" s="201" t="s">
        <v>147</v>
      </c>
      <c r="Y42" s="201"/>
      <c r="Z42" s="257" t="s">
        <v>23</v>
      </c>
      <c r="AA42" s="201"/>
      <c r="AB42" s="201"/>
      <c r="AC42" s="257" t="s">
        <v>103</v>
      </c>
      <c r="AD42" s="201"/>
      <c r="AE42" s="201"/>
      <c r="AF42" s="257" t="s">
        <v>138</v>
      </c>
      <c r="AG42" s="201"/>
      <c r="AH42" s="201"/>
      <c r="AI42" s="257" t="s">
        <v>108</v>
      </c>
      <c r="AJ42" s="201"/>
      <c r="AK42" s="201"/>
      <c r="AL42" s="209"/>
    </row>
    <row r="43" spans="1:38" ht="7.5" customHeight="1">
      <c r="A43" s="225"/>
      <c r="B43" s="212"/>
      <c r="C43" s="212"/>
      <c r="D43" s="212"/>
      <c r="E43" s="212"/>
      <c r="F43" s="212"/>
      <c r="G43" s="212"/>
      <c r="H43" s="212"/>
      <c r="I43" s="212"/>
      <c r="J43" s="212"/>
      <c r="K43" s="212"/>
      <c r="L43" s="212"/>
      <c r="M43" s="212"/>
      <c r="N43" s="212"/>
      <c r="O43" s="212"/>
      <c r="P43" s="212"/>
      <c r="Q43" s="212"/>
      <c r="R43" s="212"/>
      <c r="S43" s="215"/>
      <c r="T43" s="213"/>
      <c r="U43" s="212"/>
      <c r="V43" s="212"/>
      <c r="W43" s="212"/>
      <c r="X43" s="212"/>
      <c r="Y43" s="212"/>
      <c r="Z43" s="212"/>
      <c r="AA43" s="212"/>
      <c r="AB43" s="212"/>
      <c r="AC43" s="212"/>
      <c r="AD43" s="212"/>
      <c r="AE43" s="212"/>
      <c r="AF43" s="212"/>
      <c r="AG43" s="212"/>
      <c r="AH43" s="212"/>
      <c r="AI43" s="212"/>
      <c r="AJ43" s="212"/>
      <c r="AK43" s="212"/>
      <c r="AL43" s="218"/>
    </row>
    <row r="44" spans="1:38" ht="9" customHeight="1">
      <c r="A44" s="221"/>
      <c r="B44" s="172" t="s">
        <v>150</v>
      </c>
      <c r="C44" s="201"/>
      <c r="D44" s="224"/>
      <c r="E44" s="201"/>
      <c r="F44" s="201"/>
      <c r="G44" s="201"/>
      <c r="H44" s="201"/>
      <c r="I44" s="201"/>
      <c r="J44" s="201"/>
      <c r="K44" s="201"/>
      <c r="L44" s="201"/>
      <c r="M44" s="201"/>
      <c r="N44" s="201"/>
      <c r="O44" s="201"/>
      <c r="P44" s="201"/>
      <c r="Q44" s="201"/>
      <c r="R44" s="201"/>
      <c r="S44" s="201"/>
      <c r="T44" s="201"/>
      <c r="U44" s="201"/>
      <c r="V44" s="201"/>
      <c r="W44" s="201"/>
      <c r="X44" s="201"/>
      <c r="Y44" s="201"/>
      <c r="Z44" s="201"/>
      <c r="AA44" s="201"/>
      <c r="AB44" s="201"/>
      <c r="AC44" s="201"/>
      <c r="AD44" s="201"/>
      <c r="AE44" s="201"/>
      <c r="AF44" s="201"/>
      <c r="AG44" s="201"/>
      <c r="AH44" s="201"/>
      <c r="AI44" s="201"/>
      <c r="AJ44" s="201"/>
      <c r="AK44" s="201"/>
      <c r="AL44" s="209"/>
    </row>
    <row r="45" spans="1:45" s="264" customFormat="1" ht="14.25" customHeight="1">
      <c r="A45" s="260"/>
      <c r="B45" s="172"/>
      <c r="C45" s="172"/>
      <c r="D45" s="172" t="s">
        <v>109</v>
      </c>
      <c r="E45" s="172"/>
      <c r="F45" s="172"/>
      <c r="G45" s="172" t="s">
        <v>151</v>
      </c>
      <c r="H45" s="172"/>
      <c r="I45" s="172"/>
      <c r="J45" s="172" t="s">
        <v>152</v>
      </c>
      <c r="K45" s="172"/>
      <c r="L45" s="172"/>
      <c r="M45" s="172"/>
      <c r="N45" s="172"/>
      <c r="O45" s="172"/>
      <c r="P45" s="172"/>
      <c r="Q45" s="172" t="s">
        <v>153</v>
      </c>
      <c r="R45" s="172"/>
      <c r="S45" s="172"/>
      <c r="T45" s="172"/>
      <c r="U45" s="172"/>
      <c r="V45" s="172"/>
      <c r="W45" s="172"/>
      <c r="X45" s="172"/>
      <c r="Y45" s="172"/>
      <c r="Z45" s="172"/>
      <c r="AA45" s="172"/>
      <c r="AB45" s="172"/>
      <c r="AC45" s="172"/>
      <c r="AD45" s="172"/>
      <c r="AE45" s="172"/>
      <c r="AF45" s="172"/>
      <c r="AG45" s="172"/>
      <c r="AH45" s="172"/>
      <c r="AI45" s="172"/>
      <c r="AJ45" s="172"/>
      <c r="AK45" s="172"/>
      <c r="AL45" s="263"/>
      <c r="AS45" s="265"/>
    </row>
    <row r="46" spans="1:38" ht="14.25" customHeight="1">
      <c r="A46" s="221"/>
      <c r="B46" s="257" t="s">
        <v>148</v>
      </c>
      <c r="C46" s="201" t="s">
        <v>114</v>
      </c>
      <c r="D46" s="266"/>
      <c r="E46" s="266"/>
      <c r="F46" s="201"/>
      <c r="G46" s="266"/>
      <c r="H46" s="266"/>
      <c r="I46" s="266"/>
      <c r="J46" s="201"/>
      <c r="K46" s="257" t="s">
        <v>117</v>
      </c>
      <c r="L46" s="201"/>
      <c r="M46" s="267"/>
      <c r="N46" s="267"/>
      <c r="O46" s="267"/>
      <c r="P46" s="267"/>
      <c r="Q46" s="267"/>
      <c r="R46" s="267"/>
      <c r="S46" s="267"/>
      <c r="T46" s="267"/>
      <c r="U46" s="267"/>
      <c r="V46" s="267"/>
      <c r="W46" s="199" t="s">
        <v>93</v>
      </c>
      <c r="X46" s="200"/>
      <c r="Y46" s="201"/>
      <c r="Z46" s="201"/>
      <c r="AA46" s="201"/>
      <c r="AB46" s="201"/>
      <c r="AC46" s="201"/>
      <c r="AD46" s="201"/>
      <c r="AE46" s="201"/>
      <c r="AF46" s="201"/>
      <c r="AG46" s="201"/>
      <c r="AH46" s="201"/>
      <c r="AI46" s="201"/>
      <c r="AJ46" s="201"/>
      <c r="AK46" s="201"/>
      <c r="AL46" s="209"/>
    </row>
    <row r="47" spans="1:38" ht="15.75" customHeight="1">
      <c r="A47" s="221"/>
      <c r="B47" s="201"/>
      <c r="C47" s="201"/>
      <c r="D47" s="172" t="s">
        <v>154</v>
      </c>
      <c r="E47" s="201"/>
      <c r="F47" s="201"/>
      <c r="G47" s="201"/>
      <c r="H47" s="201"/>
      <c r="I47" s="201"/>
      <c r="J47" s="201"/>
      <c r="K47" s="201"/>
      <c r="L47" s="201"/>
      <c r="M47" s="201"/>
      <c r="N47" s="201"/>
      <c r="O47" s="201"/>
      <c r="P47" s="201"/>
      <c r="Q47" s="201"/>
      <c r="R47" s="201"/>
      <c r="S47" s="201"/>
      <c r="T47" s="201"/>
      <c r="U47" s="201"/>
      <c r="V47" s="201"/>
      <c r="W47" s="201"/>
      <c r="X47" s="201"/>
      <c r="Y47" s="201"/>
      <c r="Z47" s="201"/>
      <c r="AA47" s="201"/>
      <c r="AB47" s="201"/>
      <c r="AC47" s="201"/>
      <c r="AD47" s="201"/>
      <c r="AE47" s="201"/>
      <c r="AF47" s="201"/>
      <c r="AG47" s="201"/>
      <c r="AH47" s="201"/>
      <c r="AI47" s="201"/>
      <c r="AJ47" s="201"/>
      <c r="AK47" s="201"/>
      <c r="AL47" s="209"/>
    </row>
    <row r="48" spans="1:38" ht="14.25" customHeight="1">
      <c r="A48" s="221"/>
      <c r="B48" s="201" t="s">
        <v>155</v>
      </c>
      <c r="C48" s="201" t="s">
        <v>114</v>
      </c>
      <c r="D48" s="268" t="s">
        <v>156</v>
      </c>
      <c r="E48" s="268"/>
      <c r="F48" s="268"/>
      <c r="G48" s="268"/>
      <c r="H48" s="268"/>
      <c r="I48" s="268"/>
      <c r="J48" s="268"/>
      <c r="K48" s="268"/>
      <c r="L48" s="268"/>
      <c r="M48" s="268"/>
      <c r="N48" s="268"/>
      <c r="O48" s="268"/>
      <c r="P48" s="268"/>
      <c r="Q48" s="268"/>
      <c r="R48" s="268"/>
      <c r="S48" s="268"/>
      <c r="T48" s="268"/>
      <c r="U48" s="268"/>
      <c r="V48" s="268"/>
      <c r="W48" s="268"/>
      <c r="X48" s="268"/>
      <c r="Y48" s="268"/>
      <c r="Z48" s="268"/>
      <c r="AA48" s="268"/>
      <c r="AB48" s="268"/>
      <c r="AC48" s="268"/>
      <c r="AD48" s="268"/>
      <c r="AE48" s="268"/>
      <c r="AF48" s="268"/>
      <c r="AG48" s="268"/>
      <c r="AH48" s="268"/>
      <c r="AI48" s="268"/>
      <c r="AJ48" s="268"/>
      <c r="AK48" s="268"/>
      <c r="AL48" s="268"/>
    </row>
    <row r="49" spans="1:38" ht="15.75" customHeight="1">
      <c r="A49" s="221"/>
      <c r="B49" s="201"/>
      <c r="C49" s="201"/>
      <c r="D49" s="172" t="s">
        <v>157</v>
      </c>
      <c r="E49" s="201"/>
      <c r="F49" s="201"/>
      <c r="G49" s="201"/>
      <c r="H49" s="201"/>
      <c r="I49" s="201"/>
      <c r="J49" s="201"/>
      <c r="K49" s="201"/>
      <c r="L49" s="201"/>
      <c r="M49" s="201"/>
      <c r="N49" s="201"/>
      <c r="O49" s="201"/>
      <c r="P49" s="201"/>
      <c r="Q49" s="201"/>
      <c r="R49" s="201"/>
      <c r="S49" s="201"/>
      <c r="T49" s="201"/>
      <c r="U49" s="201"/>
      <c r="V49" s="201"/>
      <c r="W49" s="201"/>
      <c r="X49" s="201"/>
      <c r="Y49" s="201"/>
      <c r="Z49" s="201"/>
      <c r="AA49" s="201"/>
      <c r="AB49" s="201"/>
      <c r="AC49" s="201"/>
      <c r="AD49" s="201"/>
      <c r="AE49" s="201"/>
      <c r="AF49" s="201"/>
      <c r="AG49" s="201"/>
      <c r="AH49" s="201"/>
      <c r="AI49" s="201"/>
      <c r="AJ49" s="201"/>
      <c r="AK49" s="201"/>
      <c r="AL49" s="209"/>
    </row>
    <row r="50" spans="1:38" ht="14.25" customHeight="1">
      <c r="A50" s="221"/>
      <c r="B50" s="257" t="s">
        <v>158</v>
      </c>
      <c r="C50" s="201" t="s">
        <v>114</v>
      </c>
      <c r="D50" s="229"/>
      <c r="E50" s="229"/>
      <c r="F50" s="229"/>
      <c r="G50" s="229"/>
      <c r="H50" s="229"/>
      <c r="I50" s="229"/>
      <c r="J50" s="229"/>
      <c r="K50" s="229"/>
      <c r="L50" s="229"/>
      <c r="M50" s="229"/>
      <c r="N50" s="229"/>
      <c r="O50" s="229"/>
      <c r="P50" s="229"/>
      <c r="Q50" s="229"/>
      <c r="R50" s="229"/>
      <c r="S50" s="229"/>
      <c r="T50" s="229"/>
      <c r="U50" s="229"/>
      <c r="V50" s="229"/>
      <c r="W50" s="229"/>
      <c r="X50" s="229"/>
      <c r="Y50" s="229"/>
      <c r="Z50" s="229"/>
      <c r="AA50" s="229"/>
      <c r="AB50" s="229"/>
      <c r="AC50" s="229"/>
      <c r="AD50" s="229"/>
      <c r="AE50" s="229"/>
      <c r="AF50" s="229"/>
      <c r="AG50" s="229"/>
      <c r="AH50" s="229"/>
      <c r="AI50" s="229"/>
      <c r="AJ50" s="199" t="s">
        <v>93</v>
      </c>
      <c r="AK50" s="200"/>
      <c r="AL50" s="209"/>
    </row>
    <row r="51" spans="1:38" ht="15.75" customHeight="1">
      <c r="A51" s="221"/>
      <c r="B51" s="201"/>
      <c r="C51" s="201"/>
      <c r="D51" s="172" t="s">
        <v>159</v>
      </c>
      <c r="E51" s="201"/>
      <c r="F51" s="201"/>
      <c r="G51" s="201"/>
      <c r="H51" s="201"/>
      <c r="I51" s="201"/>
      <c r="J51" s="201"/>
      <c r="K51" s="201"/>
      <c r="L51" s="201"/>
      <c r="M51" s="201"/>
      <c r="N51" s="201"/>
      <c r="O51" s="201"/>
      <c r="P51" s="201"/>
      <c r="Q51" s="201"/>
      <c r="R51" s="201"/>
      <c r="S51" s="201"/>
      <c r="T51" s="201"/>
      <c r="U51" s="201"/>
      <c r="V51" s="201"/>
      <c r="W51" s="201"/>
      <c r="X51" s="201"/>
      <c r="Y51" s="201"/>
      <c r="Z51" s="201"/>
      <c r="AA51" s="201"/>
      <c r="AB51" s="201"/>
      <c r="AC51" s="201"/>
      <c r="AD51" s="201"/>
      <c r="AE51" s="201"/>
      <c r="AF51" s="201"/>
      <c r="AG51" s="201"/>
      <c r="AH51" s="201"/>
      <c r="AI51" s="201"/>
      <c r="AJ51" s="201"/>
      <c r="AK51" s="201"/>
      <c r="AL51" s="209"/>
    </row>
    <row r="52" spans="1:38" ht="14.25" customHeight="1">
      <c r="A52" s="221"/>
      <c r="B52" s="201" t="s">
        <v>117</v>
      </c>
      <c r="C52" s="201" t="s">
        <v>114</v>
      </c>
      <c r="D52" s="268"/>
      <c r="E52" s="268"/>
      <c r="F52" s="268"/>
      <c r="G52" s="268"/>
      <c r="H52" s="268"/>
      <c r="I52" s="268"/>
      <c r="J52" s="268"/>
      <c r="K52" s="268"/>
      <c r="L52" s="268"/>
      <c r="M52" s="268"/>
      <c r="N52" s="268"/>
      <c r="O52" s="268"/>
      <c r="P52" s="268"/>
      <c r="Q52" s="268"/>
      <c r="R52" s="268"/>
      <c r="S52" s="268"/>
      <c r="T52" s="268"/>
      <c r="U52" s="268"/>
      <c r="V52" s="268"/>
      <c r="W52" s="199" t="s">
        <v>128</v>
      </c>
      <c r="X52" s="200"/>
      <c r="Y52" s="201"/>
      <c r="Z52" s="201"/>
      <c r="AA52" s="201"/>
      <c r="AB52" s="201"/>
      <c r="AC52" s="201"/>
      <c r="AD52" s="201"/>
      <c r="AE52" s="201"/>
      <c r="AF52" s="201"/>
      <c r="AG52" s="201"/>
      <c r="AH52" s="201"/>
      <c r="AI52" s="201"/>
      <c r="AJ52" s="201"/>
      <c r="AK52" s="201"/>
      <c r="AL52" s="209"/>
    </row>
    <row r="53" spans="1:38" ht="15.75" customHeight="1">
      <c r="A53" s="221"/>
      <c r="B53" s="201"/>
      <c r="C53" s="201"/>
      <c r="D53" s="172" t="s">
        <v>160</v>
      </c>
      <c r="E53" s="201"/>
      <c r="F53" s="201"/>
      <c r="G53" s="201"/>
      <c r="H53" s="201"/>
      <c r="I53" s="201"/>
      <c r="J53" s="201"/>
      <c r="K53" s="201"/>
      <c r="L53" s="201"/>
      <c r="M53" s="201"/>
      <c r="N53" s="201"/>
      <c r="O53" s="201"/>
      <c r="P53" s="201"/>
      <c r="Q53" s="201"/>
      <c r="R53" s="201"/>
      <c r="S53" s="201"/>
      <c r="T53" s="201"/>
      <c r="U53" s="201"/>
      <c r="V53" s="201"/>
      <c r="W53" s="201"/>
      <c r="X53" s="201"/>
      <c r="Y53" s="201"/>
      <c r="Z53" s="201"/>
      <c r="AA53" s="201"/>
      <c r="AB53" s="201"/>
      <c r="AC53" s="201"/>
      <c r="AD53" s="201"/>
      <c r="AE53" s="201"/>
      <c r="AF53" s="201"/>
      <c r="AG53" s="201"/>
      <c r="AH53" s="201"/>
      <c r="AI53" s="201"/>
      <c r="AJ53" s="201"/>
      <c r="AK53" s="201"/>
      <c r="AL53" s="209"/>
    </row>
    <row r="54" spans="1:38" ht="15.75" customHeight="1">
      <c r="A54" s="269"/>
      <c r="B54" s="270"/>
      <c r="C54" s="270"/>
      <c r="D54" s="270"/>
      <c r="E54" s="270"/>
      <c r="F54" s="270"/>
      <c r="G54" s="270"/>
      <c r="H54" s="270"/>
      <c r="I54" s="270"/>
      <c r="J54" s="270"/>
      <c r="K54" s="270"/>
      <c r="L54" s="271"/>
      <c r="M54" s="195"/>
      <c r="N54" s="193" t="s">
        <v>161</v>
      </c>
      <c r="O54" s="194"/>
      <c r="P54" s="194"/>
      <c r="Q54" s="194"/>
      <c r="R54" s="194"/>
      <c r="S54" s="194"/>
      <c r="T54" s="194"/>
      <c r="U54" s="194"/>
      <c r="V54" s="194"/>
      <c r="W54" s="194"/>
      <c r="X54" s="194"/>
      <c r="Y54" s="194"/>
      <c r="Z54" s="194"/>
      <c r="AA54" s="194"/>
      <c r="AB54" s="194"/>
      <c r="AC54" s="194"/>
      <c r="AD54" s="194"/>
      <c r="AE54" s="194"/>
      <c r="AF54" s="194"/>
      <c r="AG54" s="194"/>
      <c r="AH54" s="194"/>
      <c r="AI54" s="194"/>
      <c r="AJ54" s="194"/>
      <c r="AK54" s="194"/>
      <c r="AL54" s="198"/>
    </row>
    <row r="55" spans="1:38" ht="14.25" customHeight="1">
      <c r="A55" s="272"/>
      <c r="B55" s="273"/>
      <c r="C55" s="273"/>
      <c r="D55" s="273"/>
      <c r="E55" s="273"/>
      <c r="F55" s="273"/>
      <c r="G55" s="273"/>
      <c r="H55" s="273"/>
      <c r="I55" s="273"/>
      <c r="J55" s="273"/>
      <c r="K55" s="273"/>
      <c r="L55" s="274"/>
      <c r="M55" s="202"/>
      <c r="N55" s="201"/>
      <c r="O55" s="201"/>
      <c r="P55" s="201"/>
      <c r="Q55" s="201"/>
      <c r="R55" s="201"/>
      <c r="S55" s="201"/>
      <c r="T55" s="201"/>
      <c r="U55" s="201"/>
      <c r="V55" s="201"/>
      <c r="W55" s="201"/>
      <c r="X55" s="201"/>
      <c r="Y55" s="201"/>
      <c r="Z55" s="201"/>
      <c r="AA55" s="201"/>
      <c r="AB55" s="201"/>
      <c r="AC55" s="201"/>
      <c r="AD55" s="201"/>
      <c r="AE55" s="201"/>
      <c r="AF55" s="201"/>
      <c r="AG55" s="201"/>
      <c r="AH55" s="201"/>
      <c r="AI55" s="201"/>
      <c r="AJ55" s="201"/>
      <c r="AK55" s="201"/>
      <c r="AL55" s="209"/>
    </row>
    <row r="56" spans="1:38" ht="14.25" customHeight="1">
      <c r="A56" s="275"/>
      <c r="B56" s="276"/>
      <c r="C56" s="276"/>
      <c r="D56" s="276"/>
      <c r="E56" s="276"/>
      <c r="F56" s="276"/>
      <c r="G56" s="276"/>
      <c r="H56" s="276"/>
      <c r="I56" s="276"/>
      <c r="J56" s="276"/>
      <c r="K56" s="276"/>
      <c r="L56" s="277"/>
      <c r="M56" s="278"/>
      <c r="N56" s="279"/>
      <c r="O56" s="279"/>
      <c r="P56" s="279"/>
      <c r="Q56" s="279"/>
      <c r="R56" s="279"/>
      <c r="S56" s="279"/>
      <c r="T56" s="279"/>
      <c r="U56" s="279"/>
      <c r="V56" s="279"/>
      <c r="W56" s="279"/>
      <c r="X56" s="279"/>
      <c r="Y56" s="279"/>
      <c r="Z56" s="279"/>
      <c r="AA56" s="279"/>
      <c r="AB56" s="279"/>
      <c r="AC56" s="279"/>
      <c r="AD56" s="279"/>
      <c r="AE56" s="279"/>
      <c r="AF56" s="279"/>
      <c r="AG56" s="279"/>
      <c r="AH56" s="279"/>
      <c r="AI56" s="279"/>
      <c r="AJ56" s="279"/>
      <c r="AK56" s="279"/>
      <c r="AL56" s="280"/>
    </row>
    <row r="57" spans="4:20" ht="14.25" customHeight="1">
      <c r="D57" s="281"/>
      <c r="E57" s="281"/>
      <c r="F57" s="281"/>
      <c r="G57" s="281"/>
      <c r="H57" s="281"/>
      <c r="I57" s="281"/>
      <c r="J57" s="281"/>
      <c r="K57" s="281"/>
      <c r="L57" s="281"/>
      <c r="M57" s="281"/>
      <c r="N57" s="281"/>
      <c r="O57" s="281"/>
      <c r="P57" s="281"/>
      <c r="Q57" s="281"/>
      <c r="R57" s="281"/>
      <c r="S57" s="281"/>
      <c r="T57" s="281"/>
    </row>
    <row r="58" spans="4:20" ht="14.25" customHeight="1">
      <c r="D58" s="281"/>
      <c r="E58" s="281"/>
      <c r="F58" s="281"/>
      <c r="G58" s="281"/>
      <c r="H58" s="281"/>
      <c r="I58" s="281"/>
      <c r="J58" s="281"/>
      <c r="K58" s="281"/>
      <c r="L58" s="281"/>
      <c r="M58" s="281"/>
      <c r="N58" s="281"/>
      <c r="O58" s="281"/>
      <c r="P58" s="281"/>
      <c r="Q58" s="281"/>
      <c r="R58" s="281"/>
      <c r="S58" s="281"/>
      <c r="T58" s="281"/>
    </row>
    <row r="59" spans="4:20" ht="14.25" customHeight="1">
      <c r="D59" s="281"/>
      <c r="E59" s="281"/>
      <c r="F59" s="281"/>
      <c r="G59" s="281"/>
      <c r="H59" s="281"/>
      <c r="I59" s="281"/>
      <c r="J59" s="281"/>
      <c r="K59" s="281"/>
      <c r="L59" s="281"/>
      <c r="M59" s="281"/>
      <c r="N59" s="281"/>
      <c r="O59" s="281"/>
      <c r="P59" s="281"/>
      <c r="Q59" s="281"/>
      <c r="R59" s="281"/>
      <c r="S59" s="281"/>
      <c r="T59" s="281"/>
    </row>
    <row r="60" spans="4:20" ht="14.25" customHeight="1">
      <c r="D60" s="281"/>
      <c r="E60" s="281"/>
      <c r="F60" s="281"/>
      <c r="G60" s="281"/>
      <c r="H60" s="281"/>
      <c r="I60" s="281"/>
      <c r="J60" s="281"/>
      <c r="K60" s="281"/>
      <c r="L60" s="281"/>
      <c r="M60" s="281"/>
      <c r="N60" s="281"/>
      <c r="O60" s="281"/>
      <c r="P60" s="281"/>
      <c r="Q60" s="281"/>
      <c r="R60" s="281"/>
      <c r="S60" s="281"/>
      <c r="T60" s="281"/>
    </row>
    <row r="61" spans="4:20" ht="14.25" customHeight="1">
      <c r="D61" s="281"/>
      <c r="E61" s="281"/>
      <c r="F61" s="281"/>
      <c r="G61" s="281"/>
      <c r="H61" s="281"/>
      <c r="I61" s="281"/>
      <c r="J61" s="281"/>
      <c r="K61" s="281"/>
      <c r="L61" s="281"/>
      <c r="M61" s="281"/>
      <c r="N61" s="281"/>
      <c r="O61" s="281"/>
      <c r="P61" s="281"/>
      <c r="Q61" s="281"/>
      <c r="R61" s="281"/>
      <c r="S61" s="281"/>
      <c r="T61" s="281"/>
    </row>
    <row r="62" spans="4:20" ht="14.25" customHeight="1">
      <c r="D62" s="281"/>
      <c r="E62" s="281"/>
      <c r="F62" s="281"/>
      <c r="G62" s="281"/>
      <c r="H62" s="281"/>
      <c r="I62" s="281"/>
      <c r="J62" s="281"/>
      <c r="K62" s="281"/>
      <c r="L62" s="281"/>
      <c r="M62" s="281"/>
      <c r="N62" s="281"/>
      <c r="O62" s="281"/>
      <c r="P62" s="281"/>
      <c r="Q62" s="281"/>
      <c r="R62" s="281"/>
      <c r="S62" s="281"/>
      <c r="T62" s="281"/>
    </row>
    <row r="63" spans="4:20" ht="14.25" customHeight="1">
      <c r="D63" s="281"/>
      <c r="E63" s="281"/>
      <c r="F63" s="281"/>
      <c r="G63" s="281"/>
      <c r="H63" s="281"/>
      <c r="I63" s="281"/>
      <c r="J63" s="281"/>
      <c r="K63" s="281"/>
      <c r="L63" s="281"/>
      <c r="M63" s="281"/>
      <c r="N63" s="281"/>
      <c r="O63" s="281"/>
      <c r="P63" s="281"/>
      <c r="Q63" s="281"/>
      <c r="R63" s="281"/>
      <c r="S63" s="281"/>
      <c r="T63" s="281"/>
    </row>
  </sheetData>
  <sheetProtection selectLockedCells="1" selectUnlockedCells="1"/>
  <mergeCells count="32">
    <mergeCell ref="A1:AL1"/>
    <mergeCell ref="A2:AL2"/>
    <mergeCell ref="H7:O7"/>
    <mergeCell ref="B15:C15"/>
    <mergeCell ref="I15:L15"/>
    <mergeCell ref="AD15:AI15"/>
    <mergeCell ref="E18:H18"/>
    <mergeCell ref="N18:Q18"/>
    <mergeCell ref="AD18:AI18"/>
    <mergeCell ref="B21:F21"/>
    <mergeCell ref="I21:L21"/>
    <mergeCell ref="N21:AL21"/>
    <mergeCell ref="A22:AL22"/>
    <mergeCell ref="A23:AL23"/>
    <mergeCell ref="A24:AL24"/>
    <mergeCell ref="A25:AI25"/>
    <mergeCell ref="E29:H29"/>
    <mergeCell ref="N29:O29"/>
    <mergeCell ref="P29:Q29"/>
    <mergeCell ref="W29:Z29"/>
    <mergeCell ref="AF29:AI29"/>
    <mergeCell ref="B31:AL31"/>
    <mergeCell ref="A32:R32"/>
    <mergeCell ref="A33:AL33"/>
    <mergeCell ref="A34:AI34"/>
    <mergeCell ref="D38:E38"/>
    <mergeCell ref="D46:E46"/>
    <mergeCell ref="G46:I46"/>
    <mergeCell ref="M46:V46"/>
    <mergeCell ref="D48:AL48"/>
    <mergeCell ref="D50:AI50"/>
    <mergeCell ref="D52:V52"/>
  </mergeCells>
  <printOptions horizontalCentered="1"/>
  <pageMargins left="0" right="0" top="0.39375" bottom="0" header="0.5118055555555555" footer="0.5118055555555555"/>
  <pageSetup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R28"/>
  <sheetViews>
    <sheetView zoomScale="45" zoomScaleNormal="45" workbookViewId="0" topLeftCell="A8">
      <selection activeCell="A1" sqref="A1"/>
    </sheetView>
  </sheetViews>
  <sheetFormatPr defaultColWidth="9.140625" defaultRowHeight="15" customHeight="1"/>
  <cols>
    <col min="1" max="1" width="1.1484375" style="1" customWidth="1"/>
    <col min="2" max="2" width="51.00390625" style="1" customWidth="1"/>
    <col min="3" max="3" width="9.8515625" style="282" customWidth="1"/>
    <col min="4" max="4" width="21.57421875" style="282" customWidth="1"/>
    <col min="5" max="5" width="21.421875" style="282" customWidth="1"/>
    <col min="6" max="6" width="22.421875" style="282" customWidth="1"/>
    <col min="7" max="7" width="0" style="1" hidden="1" customWidth="1"/>
    <col min="8" max="8" width="15.7109375" style="1" customWidth="1"/>
    <col min="9" max="9" width="13.7109375" style="1" customWidth="1"/>
    <col min="10" max="10" width="8.7109375" style="1" customWidth="1"/>
    <col min="11" max="11" width="13.57421875" style="1" customWidth="1"/>
    <col min="12" max="12" width="10.7109375" style="1" customWidth="1"/>
    <col min="13" max="13" width="10.140625" style="1" customWidth="1"/>
    <col min="14" max="16384" width="9.140625" style="1" customWidth="1"/>
  </cols>
  <sheetData>
    <row r="1" spans="2:17" ht="56.25" customHeight="1">
      <c r="B1" s="283" t="s">
        <v>162</v>
      </c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</row>
    <row r="2" spans="2:17" ht="56.25" customHeight="1">
      <c r="B2" s="284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</row>
    <row r="3" spans="2:17" ht="56.25" customHeight="1">
      <c r="B3" s="284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5"/>
    </row>
    <row r="4" spans="2:18" ht="39.75" customHeight="1">
      <c r="B4" s="286" t="s">
        <v>163</v>
      </c>
      <c r="D4" s="287"/>
      <c r="P4" s="143" t="s">
        <v>164</v>
      </c>
      <c r="Q4" s="143"/>
      <c r="R4" s="143"/>
    </row>
    <row r="5" spans="2:13" ht="23.25" customHeight="1">
      <c r="B5" s="288"/>
      <c r="C5" s="288"/>
      <c r="D5" s="288"/>
      <c r="E5" s="288"/>
      <c r="F5" s="288"/>
      <c r="I5" s="289" t="s">
        <v>165</v>
      </c>
      <c r="J5" s="289"/>
      <c r="K5" s="289" t="s">
        <v>166</v>
      </c>
      <c r="L5" s="290" t="s">
        <v>167</v>
      </c>
      <c r="M5" s="291" t="s">
        <v>168</v>
      </c>
    </row>
    <row r="6" spans="2:12" ht="15.75" customHeight="1">
      <c r="B6" s="292"/>
      <c r="C6" s="293"/>
      <c r="D6" s="294" t="s">
        <v>166</v>
      </c>
      <c r="E6" s="295" t="s">
        <v>169</v>
      </c>
      <c r="F6" s="296" t="s">
        <v>170</v>
      </c>
      <c r="I6" s="289">
        <v>0.9</v>
      </c>
      <c r="J6" s="289">
        <v>0.9</v>
      </c>
      <c r="K6" s="289">
        <v>613</v>
      </c>
      <c r="L6" s="290"/>
    </row>
    <row r="7" spans="2:12" ht="30" customHeight="1">
      <c r="B7" s="297" t="s">
        <v>171</v>
      </c>
      <c r="C7" s="298">
        <v>1050</v>
      </c>
      <c r="D7" s="299" t="s">
        <v>172</v>
      </c>
      <c r="E7" s="300" t="s">
        <v>173</v>
      </c>
      <c r="F7" s="301" t="s">
        <v>174</v>
      </c>
      <c r="I7" s="289">
        <v>0.9</v>
      </c>
      <c r="J7" s="289">
        <v>0.9</v>
      </c>
      <c r="K7" s="289">
        <v>907</v>
      </c>
      <c r="L7" s="290"/>
    </row>
    <row r="8" spans="2:12" ht="30" customHeight="1">
      <c r="B8" s="302" t="s">
        <v>175</v>
      </c>
      <c r="C8" s="303"/>
      <c r="D8" s="304">
        <v>613</v>
      </c>
      <c r="E8" s="305">
        <v>0.294</v>
      </c>
      <c r="F8" s="306">
        <f>D8*E8</f>
        <v>180.22199999999998</v>
      </c>
      <c r="I8" s="289">
        <v>0.977</v>
      </c>
      <c r="J8" s="289">
        <v>0.977</v>
      </c>
      <c r="K8" s="289">
        <v>1050</v>
      </c>
      <c r="L8" s="290"/>
    </row>
    <row r="9" spans="2:12" s="307" customFormat="1" ht="30" customHeight="1">
      <c r="B9" s="308" t="s">
        <v>176</v>
      </c>
      <c r="C9" s="309"/>
      <c r="D9" s="310">
        <v>180</v>
      </c>
      <c r="E9" s="311">
        <v>0.41</v>
      </c>
      <c r="F9" s="306">
        <f>D9*E9</f>
        <v>73.8</v>
      </c>
      <c r="H9" s="1"/>
      <c r="I9" s="289">
        <v>1.2</v>
      </c>
      <c r="J9" s="289">
        <v>1.2</v>
      </c>
      <c r="K9" s="289">
        <v>1050</v>
      </c>
      <c r="L9" s="290"/>
    </row>
    <row r="10" spans="2:12" ht="30" customHeight="1">
      <c r="B10" s="308" t="s">
        <v>177</v>
      </c>
      <c r="C10" s="312"/>
      <c r="D10" s="310">
        <v>60</v>
      </c>
      <c r="E10" s="311">
        <v>1.19</v>
      </c>
      <c r="F10" s="306">
        <f>D10*E10</f>
        <v>71.39999999999999</v>
      </c>
      <c r="I10" s="289">
        <v>1.2</v>
      </c>
      <c r="J10" s="289">
        <v>0.9</v>
      </c>
      <c r="K10" s="289">
        <v>613</v>
      </c>
      <c r="L10" s="313"/>
    </row>
    <row r="11" spans="2:12" ht="30" customHeight="1">
      <c r="B11" s="308" t="s">
        <v>178</v>
      </c>
      <c r="C11" s="312"/>
      <c r="D11" s="310">
        <v>3</v>
      </c>
      <c r="E11" s="311">
        <v>1.9</v>
      </c>
      <c r="F11" s="306">
        <f>D11*E11</f>
        <v>5.699999999999999</v>
      </c>
      <c r="I11" s="289"/>
      <c r="J11" s="289"/>
      <c r="K11" s="289"/>
      <c r="L11" s="313"/>
    </row>
    <row r="12" spans="2:13" ht="30" customHeight="1">
      <c r="B12" s="314" t="s">
        <v>179</v>
      </c>
      <c r="C12" s="312"/>
      <c r="D12" s="315">
        <f>D8+D9+D10+D11</f>
        <v>856</v>
      </c>
      <c r="E12" s="311"/>
      <c r="F12" s="306"/>
      <c r="I12" s="316">
        <f>E18</f>
        <v>0.4312669033467629</v>
      </c>
      <c r="J12" s="316">
        <f>E23</f>
        <v>0.40955047488074253</v>
      </c>
      <c r="K12" s="289"/>
      <c r="L12" s="317">
        <f>D18</f>
        <v>1002.76</v>
      </c>
      <c r="M12" s="318">
        <f>D23</f>
        <v>930.76</v>
      </c>
    </row>
    <row r="13" spans="2:12" ht="30" customHeight="1">
      <c r="B13" s="308" t="s">
        <v>180</v>
      </c>
      <c r="C13" s="319">
        <v>90</v>
      </c>
      <c r="D13" s="304">
        <f>C13*0.72</f>
        <v>64.8</v>
      </c>
      <c r="E13" s="311">
        <v>0.1</v>
      </c>
      <c r="F13" s="306">
        <f>D13*E13</f>
        <v>6.48</v>
      </c>
      <c r="I13" s="313"/>
      <c r="J13" s="313"/>
      <c r="K13" s="320"/>
      <c r="L13" s="321"/>
    </row>
    <row r="14" spans="2:12" ht="30" customHeight="1">
      <c r="B14" s="322" t="s">
        <v>181</v>
      </c>
      <c r="C14" s="323">
        <v>118</v>
      </c>
      <c r="D14" s="304">
        <f>C14*0.72</f>
        <v>84.96</v>
      </c>
      <c r="E14" s="311">
        <v>1.12</v>
      </c>
      <c r="F14" s="306">
        <f>D14*E14</f>
        <v>95.15520000000001</v>
      </c>
      <c r="G14" s="324"/>
      <c r="I14" s="289"/>
      <c r="J14" s="289"/>
      <c r="K14" s="313"/>
      <c r="L14" s="72"/>
    </row>
    <row r="15" spans="2:11" ht="30" customHeight="1">
      <c r="B15" s="325"/>
      <c r="C15" s="326"/>
      <c r="D15" s="327"/>
      <c r="E15" s="328"/>
      <c r="F15" s="306"/>
      <c r="G15" s="2"/>
      <c r="I15" s="313"/>
      <c r="J15" s="289"/>
      <c r="K15" s="317"/>
    </row>
    <row r="16" spans="2:12" ht="30" customHeight="1">
      <c r="B16" s="329" t="s">
        <v>182</v>
      </c>
      <c r="C16" s="330"/>
      <c r="D16" s="331">
        <f>SUM(D12:D14)</f>
        <v>1005.76</v>
      </c>
      <c r="E16" s="332"/>
      <c r="F16" s="333">
        <f>SUM(F8:F14)</f>
        <v>432.75719999999995</v>
      </c>
      <c r="G16" s="2"/>
      <c r="J16" s="334"/>
      <c r="K16" s="335"/>
      <c r="L16" s="2"/>
    </row>
    <row r="17" spans="2:10" ht="30" customHeight="1">
      <c r="B17" s="336" t="s">
        <v>183</v>
      </c>
      <c r="C17" s="337"/>
      <c r="D17" s="338">
        <v>3</v>
      </c>
      <c r="E17" s="339">
        <v>0.1</v>
      </c>
      <c r="F17" s="340">
        <f>D17*E17</f>
        <v>0.30000000000000004</v>
      </c>
      <c r="G17" s="2"/>
      <c r="H17" s="341"/>
      <c r="I17" s="2"/>
      <c r="J17" s="2"/>
    </row>
    <row r="18" spans="2:10" ht="30" customHeight="1">
      <c r="B18" s="342" t="s">
        <v>184</v>
      </c>
      <c r="C18" s="343"/>
      <c r="D18" s="344">
        <f>IF(D16-D17&gt;C7,"SURCHARGE",D16-D17)</f>
        <v>1002.76</v>
      </c>
      <c r="E18" s="345">
        <f>IF(D18="surcharge","******",F18/D18)</f>
        <v>0.4312669033467629</v>
      </c>
      <c r="F18" s="333">
        <f>F16-F17</f>
        <v>432.45719999999994</v>
      </c>
      <c r="G18" s="2"/>
      <c r="H18" s="2"/>
      <c r="I18" s="2"/>
      <c r="J18" s="2"/>
    </row>
    <row r="19" spans="2:10" ht="30" customHeight="1">
      <c r="B19" s="346" t="s">
        <v>185</v>
      </c>
      <c r="C19" s="347"/>
      <c r="D19" s="348">
        <f>IF(D18="SURCHARGE",C7-(D16+D17),C7-D18)</f>
        <v>47.24000000000001</v>
      </c>
      <c r="E19" s="349"/>
      <c r="F19" s="349"/>
      <c r="G19" s="2"/>
      <c r="H19" s="2"/>
      <c r="I19" s="2"/>
      <c r="J19" s="2"/>
    </row>
    <row r="20" spans="2:10" ht="30" customHeight="1">
      <c r="B20" s="350" t="s">
        <v>186</v>
      </c>
      <c r="C20" s="351"/>
      <c r="D20" s="352">
        <f>IF(D18="SURCHARGE","********",F18/D18)</f>
        <v>0.4312669033467629</v>
      </c>
      <c r="E20" s="349"/>
      <c r="F20" s="349"/>
      <c r="G20" s="2"/>
      <c r="H20" s="2"/>
      <c r="J20" s="2"/>
    </row>
    <row r="21" spans="2:8" ht="30" customHeight="1">
      <c r="B21" s="353" t="s">
        <v>187</v>
      </c>
      <c r="C21" s="354">
        <v>40</v>
      </c>
      <c r="D21" s="355">
        <f>C21*0.72</f>
        <v>28.799999999999997</v>
      </c>
      <c r="E21" s="356">
        <v>0.1</v>
      </c>
      <c r="F21" s="357">
        <f>D21*E21</f>
        <v>2.88</v>
      </c>
      <c r="H21" s="334"/>
    </row>
    <row r="22" spans="2:8" ht="30" customHeight="1">
      <c r="B22" s="353" t="s">
        <v>188</v>
      </c>
      <c r="C22" s="354">
        <v>60</v>
      </c>
      <c r="D22" s="355">
        <f>C22*0.72</f>
        <v>43.199999999999996</v>
      </c>
      <c r="E22" s="356">
        <v>1.12</v>
      </c>
      <c r="F22" s="357">
        <f>D22*E22</f>
        <v>48.384</v>
      </c>
      <c r="H22" s="334"/>
    </row>
    <row r="23" spans="2:13" ht="30" customHeight="1">
      <c r="B23" s="358" t="s">
        <v>189</v>
      </c>
      <c r="C23" s="359"/>
      <c r="D23" s="360">
        <f>D18-(D21+D22)</f>
        <v>930.76</v>
      </c>
      <c r="E23" s="361">
        <f>F23/D23</f>
        <v>0.40955047488074253</v>
      </c>
      <c r="F23" s="362">
        <f>F18-F21-F22</f>
        <v>381.19319999999993</v>
      </c>
      <c r="H23" s="363"/>
      <c r="I23" s="364"/>
      <c r="J23" s="364"/>
      <c r="K23" s="364"/>
      <c r="L23" s="365"/>
      <c r="M23" s="365"/>
    </row>
    <row r="24" spans="8:13" ht="15" customHeight="1">
      <c r="H24" s="366"/>
      <c r="I24" s="367"/>
      <c r="J24" s="367"/>
      <c r="K24" s="367"/>
      <c r="L24" s="366"/>
      <c r="M24" s="366"/>
    </row>
    <row r="25" spans="2:13" ht="9.75" customHeight="1">
      <c r="B25" s="368"/>
      <c r="H25" s="366"/>
      <c r="I25" s="367"/>
      <c r="J25" s="367"/>
      <c r="K25" s="367"/>
      <c r="L25" s="366"/>
      <c r="M25" s="366"/>
    </row>
    <row r="26" spans="2:13" s="369" customFormat="1" ht="39.75" customHeight="1">
      <c r="B26" s="370" t="s">
        <v>190</v>
      </c>
      <c r="C26" s="371"/>
      <c r="D26" s="371"/>
      <c r="E26" s="372" t="s">
        <v>191</v>
      </c>
      <c r="F26" s="373"/>
      <c r="H26" s="374" t="s">
        <v>192</v>
      </c>
      <c r="I26" s="374"/>
      <c r="J26" s="375"/>
      <c r="K26" s="375"/>
      <c r="L26" s="375"/>
      <c r="M26" s="375"/>
    </row>
    <row r="28" spans="8:10" ht="30" customHeight="1">
      <c r="H28" s="376" t="s">
        <v>193</v>
      </c>
      <c r="I28" s="376"/>
      <c r="J28" s="376"/>
    </row>
  </sheetData>
  <sheetProtection password="FBC5" sheet="1" selectLockedCells="1"/>
  <mergeCells count="13">
    <mergeCell ref="B1:Q1"/>
    <mergeCell ref="P4:R4"/>
    <mergeCell ref="B5:F5"/>
    <mergeCell ref="I23:K23"/>
    <mergeCell ref="L23:M23"/>
    <mergeCell ref="I24:K24"/>
    <mergeCell ref="L24:M24"/>
    <mergeCell ref="I25:K25"/>
    <mergeCell ref="L25:M25"/>
    <mergeCell ref="C26:D26"/>
    <mergeCell ref="H26:I26"/>
    <mergeCell ref="J26:M26"/>
    <mergeCell ref="H28:J28"/>
  </mergeCells>
  <conditionalFormatting sqref="D18">
    <cfRule type="cellIs" priority="1" dxfId="0" operator="lessThanOrEqual" stopIfTrue="1">
      <formula>2300</formula>
    </cfRule>
    <cfRule type="cellIs" priority="2" dxfId="1" operator="greaterThan" stopIfTrue="1">
      <formula>2300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R28"/>
  <sheetViews>
    <sheetView zoomScale="45" zoomScaleNormal="45" workbookViewId="0" topLeftCell="A8">
      <selection activeCell="A1" sqref="A1"/>
    </sheetView>
  </sheetViews>
  <sheetFormatPr defaultColWidth="9.140625" defaultRowHeight="15" customHeight="1"/>
  <cols>
    <col min="1" max="1" width="1.1484375" style="1" customWidth="1"/>
    <col min="2" max="2" width="51.00390625" style="1" customWidth="1"/>
    <col min="3" max="3" width="9.8515625" style="282" customWidth="1"/>
    <col min="4" max="4" width="21.57421875" style="282" customWidth="1"/>
    <col min="5" max="5" width="21.421875" style="282" customWidth="1"/>
    <col min="6" max="6" width="22.421875" style="282" customWidth="1"/>
    <col min="7" max="7" width="0" style="1" hidden="1" customWidth="1"/>
    <col min="8" max="8" width="15.7109375" style="1" customWidth="1"/>
    <col min="9" max="9" width="13.7109375" style="1" customWidth="1"/>
    <col min="10" max="10" width="8.7109375" style="1" customWidth="1"/>
    <col min="11" max="11" width="13.57421875" style="1" customWidth="1"/>
    <col min="12" max="12" width="10.7109375" style="1" customWidth="1"/>
    <col min="13" max="13" width="10.140625" style="1" customWidth="1"/>
    <col min="14" max="16384" width="9.140625" style="1" customWidth="1"/>
  </cols>
  <sheetData>
    <row r="1" spans="2:17" ht="56.25" customHeight="1">
      <c r="B1" s="283" t="s">
        <v>162</v>
      </c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</row>
    <row r="2" spans="2:17" ht="56.25" customHeight="1">
      <c r="B2" s="284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</row>
    <row r="3" spans="2:17" ht="56.25" customHeight="1">
      <c r="B3" s="284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5"/>
    </row>
    <row r="4" spans="2:18" ht="39.75" customHeight="1">
      <c r="B4" s="286" t="s">
        <v>163</v>
      </c>
      <c r="D4" s="287"/>
      <c r="P4" s="143" t="s">
        <v>164</v>
      </c>
      <c r="Q4" s="143"/>
      <c r="R4" s="143"/>
    </row>
    <row r="5" spans="2:13" ht="23.25" customHeight="1">
      <c r="B5" s="288"/>
      <c r="C5" s="288"/>
      <c r="D5" s="288"/>
      <c r="E5" s="288"/>
      <c r="F5" s="288"/>
      <c r="I5" s="289" t="s">
        <v>165</v>
      </c>
      <c r="J5" s="289"/>
      <c r="K5" s="289" t="s">
        <v>166</v>
      </c>
      <c r="L5" s="290" t="s">
        <v>167</v>
      </c>
      <c r="M5" s="291" t="s">
        <v>168</v>
      </c>
    </row>
    <row r="6" spans="2:12" ht="15.75" customHeight="1">
      <c r="B6" s="292"/>
      <c r="C6" s="293"/>
      <c r="D6" s="294" t="s">
        <v>166</v>
      </c>
      <c r="E6" s="295" t="s">
        <v>169</v>
      </c>
      <c r="F6" s="296" t="s">
        <v>170</v>
      </c>
      <c r="I6" s="289">
        <v>0.9</v>
      </c>
      <c r="J6" s="289">
        <v>0.9</v>
      </c>
      <c r="K6" s="289">
        <v>613</v>
      </c>
      <c r="L6" s="290"/>
    </row>
    <row r="7" spans="2:12" ht="30" customHeight="1">
      <c r="B7" s="297" t="s">
        <v>171</v>
      </c>
      <c r="C7" s="298">
        <v>1050</v>
      </c>
      <c r="D7" s="299" t="s">
        <v>172</v>
      </c>
      <c r="E7" s="300" t="s">
        <v>173</v>
      </c>
      <c r="F7" s="301" t="s">
        <v>174</v>
      </c>
      <c r="I7" s="289">
        <v>0.9</v>
      </c>
      <c r="J7" s="289">
        <v>0.9</v>
      </c>
      <c r="K7" s="289">
        <v>907</v>
      </c>
      <c r="L7" s="290"/>
    </row>
    <row r="8" spans="2:12" ht="30" customHeight="1">
      <c r="B8" s="302" t="s">
        <v>175</v>
      </c>
      <c r="C8" s="303"/>
      <c r="D8" s="304">
        <v>613</v>
      </c>
      <c r="E8" s="305">
        <v>0.294</v>
      </c>
      <c r="F8" s="306">
        <f>D8*E8</f>
        <v>180.22199999999998</v>
      </c>
      <c r="I8" s="289">
        <v>0.977</v>
      </c>
      <c r="J8" s="289">
        <v>0.977</v>
      </c>
      <c r="K8" s="289">
        <v>1050</v>
      </c>
      <c r="L8" s="290"/>
    </row>
    <row r="9" spans="2:12" s="307" customFormat="1" ht="30" customHeight="1">
      <c r="B9" s="308" t="s">
        <v>176</v>
      </c>
      <c r="C9" s="309"/>
      <c r="D9" s="310">
        <v>180</v>
      </c>
      <c r="E9" s="311">
        <v>0.41</v>
      </c>
      <c r="F9" s="306">
        <f>D9*E9</f>
        <v>73.8</v>
      </c>
      <c r="H9" s="1"/>
      <c r="I9" s="289">
        <v>1.2</v>
      </c>
      <c r="J9" s="289">
        <v>1.2</v>
      </c>
      <c r="K9" s="289">
        <v>1050</v>
      </c>
      <c r="L9" s="290"/>
    </row>
    <row r="10" spans="2:12" ht="30" customHeight="1">
      <c r="B10" s="308" t="s">
        <v>177</v>
      </c>
      <c r="C10" s="312"/>
      <c r="D10" s="310">
        <v>60</v>
      </c>
      <c r="E10" s="311">
        <v>1.19</v>
      </c>
      <c r="F10" s="306">
        <f>D10*E10</f>
        <v>71.39999999999999</v>
      </c>
      <c r="I10" s="289">
        <v>1.2</v>
      </c>
      <c r="J10" s="289">
        <v>0.9</v>
      </c>
      <c r="K10" s="289">
        <v>613</v>
      </c>
      <c r="L10" s="313"/>
    </row>
    <row r="11" spans="2:12" ht="30" customHeight="1">
      <c r="B11" s="308" t="s">
        <v>178</v>
      </c>
      <c r="C11" s="312"/>
      <c r="D11" s="310">
        <v>3</v>
      </c>
      <c r="E11" s="311">
        <v>1.9</v>
      </c>
      <c r="F11" s="306">
        <f>D11*E11</f>
        <v>5.699999999999999</v>
      </c>
      <c r="I11" s="289"/>
      <c r="J11" s="289"/>
      <c r="K11" s="289"/>
      <c r="L11" s="313"/>
    </row>
    <row r="12" spans="2:13" ht="30" customHeight="1">
      <c r="B12" s="314" t="s">
        <v>179</v>
      </c>
      <c r="C12" s="312"/>
      <c r="D12" s="315">
        <f>D8+D9+D10+D11</f>
        <v>856</v>
      </c>
      <c r="E12" s="311"/>
      <c r="F12" s="306"/>
      <c r="I12" s="316">
        <f>E18</f>
        <v>0.4312669033467629</v>
      </c>
      <c r="J12" s="316">
        <f>E23</f>
        <v>0.40955047488074253</v>
      </c>
      <c r="K12" s="289"/>
      <c r="L12" s="317">
        <f>D18</f>
        <v>1002.76</v>
      </c>
      <c r="M12" s="318">
        <f>D23</f>
        <v>930.76</v>
      </c>
    </row>
    <row r="13" spans="2:12" ht="30" customHeight="1">
      <c r="B13" s="308" t="s">
        <v>180</v>
      </c>
      <c r="C13" s="319">
        <v>90</v>
      </c>
      <c r="D13" s="304">
        <f>C13*0.72</f>
        <v>64.8</v>
      </c>
      <c r="E13" s="311">
        <v>0.1</v>
      </c>
      <c r="F13" s="306">
        <f>D13*E13</f>
        <v>6.48</v>
      </c>
      <c r="I13" s="313"/>
      <c r="J13" s="313"/>
      <c r="K13" s="320"/>
      <c r="L13" s="321"/>
    </row>
    <row r="14" spans="2:12" ht="30" customHeight="1">
      <c r="B14" s="322" t="s">
        <v>181</v>
      </c>
      <c r="C14" s="323">
        <v>118</v>
      </c>
      <c r="D14" s="304">
        <f>C14*0.72</f>
        <v>84.96</v>
      </c>
      <c r="E14" s="311">
        <v>1.12</v>
      </c>
      <c r="F14" s="306">
        <f>D14*E14</f>
        <v>95.15520000000001</v>
      </c>
      <c r="G14" s="324"/>
      <c r="I14" s="289"/>
      <c r="J14" s="289"/>
      <c r="K14" s="313"/>
      <c r="L14" s="72"/>
    </row>
    <row r="15" spans="2:11" ht="30" customHeight="1">
      <c r="B15" s="325"/>
      <c r="C15" s="326"/>
      <c r="D15" s="327"/>
      <c r="E15" s="328"/>
      <c r="F15" s="306"/>
      <c r="G15" s="2"/>
      <c r="I15" s="313"/>
      <c r="J15" s="289"/>
      <c r="K15" s="317"/>
    </row>
    <row r="16" spans="2:12" ht="30" customHeight="1">
      <c r="B16" s="329" t="s">
        <v>182</v>
      </c>
      <c r="C16" s="330"/>
      <c r="D16" s="331">
        <f>SUM(D12:D14)</f>
        <v>1005.76</v>
      </c>
      <c r="E16" s="332"/>
      <c r="F16" s="333">
        <f>SUM(F8:F14)</f>
        <v>432.75719999999995</v>
      </c>
      <c r="G16" s="2"/>
      <c r="J16" s="334"/>
      <c r="K16" s="335"/>
      <c r="L16" s="2"/>
    </row>
    <row r="17" spans="2:10" ht="30" customHeight="1">
      <c r="B17" s="336" t="s">
        <v>183</v>
      </c>
      <c r="C17" s="337"/>
      <c r="D17" s="338">
        <v>3</v>
      </c>
      <c r="E17" s="339">
        <v>0.1</v>
      </c>
      <c r="F17" s="340">
        <f>D17*E17</f>
        <v>0.30000000000000004</v>
      </c>
      <c r="G17" s="2"/>
      <c r="H17" s="341"/>
      <c r="I17" s="2"/>
      <c r="J17" s="2"/>
    </row>
    <row r="18" spans="2:10" ht="30" customHeight="1">
      <c r="B18" s="342" t="s">
        <v>184</v>
      </c>
      <c r="C18" s="343"/>
      <c r="D18" s="344">
        <f>IF(D16-D17&gt;C7,"SURCHARGE",D16-D17)</f>
        <v>1002.76</v>
      </c>
      <c r="E18" s="345">
        <f>IF(D18="surcharge","******",F18/D18)</f>
        <v>0.4312669033467629</v>
      </c>
      <c r="F18" s="333">
        <f>F16-F17</f>
        <v>432.45719999999994</v>
      </c>
      <c r="G18" s="2"/>
      <c r="H18" s="2"/>
      <c r="I18" s="2"/>
      <c r="J18" s="2"/>
    </row>
    <row r="19" spans="2:10" ht="30" customHeight="1">
      <c r="B19" s="346" t="s">
        <v>185</v>
      </c>
      <c r="C19" s="347"/>
      <c r="D19" s="348">
        <f>IF(D18="SURCHARGE",C7-(D16+D17),C7-D18)</f>
        <v>47.24000000000001</v>
      </c>
      <c r="E19" s="349"/>
      <c r="F19" s="349"/>
      <c r="G19" s="2"/>
      <c r="H19" s="2"/>
      <c r="I19" s="2"/>
      <c r="J19" s="2"/>
    </row>
    <row r="20" spans="2:10" ht="30" customHeight="1">
      <c r="B20" s="350" t="s">
        <v>186</v>
      </c>
      <c r="C20" s="351"/>
      <c r="D20" s="352">
        <f>IF(D18="SURCHARGE","********",F18/D18)</f>
        <v>0.4312669033467629</v>
      </c>
      <c r="E20" s="349"/>
      <c r="F20" s="349"/>
      <c r="G20" s="2"/>
      <c r="H20" s="2"/>
      <c r="J20" s="2"/>
    </row>
    <row r="21" spans="2:8" ht="30" customHeight="1">
      <c r="B21" s="353" t="s">
        <v>187</v>
      </c>
      <c r="C21" s="354">
        <v>40</v>
      </c>
      <c r="D21" s="355">
        <f>C21*0.72</f>
        <v>28.799999999999997</v>
      </c>
      <c r="E21" s="356">
        <v>0.1</v>
      </c>
      <c r="F21" s="357">
        <f>D21*E21</f>
        <v>2.88</v>
      </c>
      <c r="H21" s="334"/>
    </row>
    <row r="22" spans="2:8" ht="30" customHeight="1">
      <c r="B22" s="353" t="s">
        <v>188</v>
      </c>
      <c r="C22" s="354">
        <v>60</v>
      </c>
      <c r="D22" s="355">
        <f>C22*0.72</f>
        <v>43.199999999999996</v>
      </c>
      <c r="E22" s="356">
        <v>1.12</v>
      </c>
      <c r="F22" s="357">
        <f>D22*E22</f>
        <v>48.384</v>
      </c>
      <c r="H22" s="334"/>
    </row>
    <row r="23" spans="2:13" ht="30" customHeight="1">
      <c r="B23" s="358" t="s">
        <v>189</v>
      </c>
      <c r="C23" s="359"/>
      <c r="D23" s="360">
        <f>D18-(D21+D22)</f>
        <v>930.76</v>
      </c>
      <c r="E23" s="361">
        <f>F23/D23</f>
        <v>0.40955047488074253</v>
      </c>
      <c r="F23" s="362">
        <f>F18-F21-F22</f>
        <v>381.19319999999993</v>
      </c>
      <c r="H23" s="363"/>
      <c r="I23" s="364"/>
      <c r="J23" s="364"/>
      <c r="K23" s="364"/>
      <c r="L23" s="365"/>
      <c r="M23" s="365"/>
    </row>
    <row r="24" spans="8:13" ht="15" customHeight="1">
      <c r="H24" s="366"/>
      <c r="I24" s="367"/>
      <c r="J24" s="367"/>
      <c r="K24" s="367"/>
      <c r="L24" s="366"/>
      <c r="M24" s="366"/>
    </row>
    <row r="25" spans="2:13" ht="9.75" customHeight="1">
      <c r="B25" s="368"/>
      <c r="H25" s="366"/>
      <c r="I25" s="367"/>
      <c r="J25" s="367"/>
      <c r="K25" s="367"/>
      <c r="L25" s="366"/>
      <c r="M25" s="366"/>
    </row>
    <row r="26" spans="2:13" s="369" customFormat="1" ht="39.75" customHeight="1">
      <c r="B26" s="370" t="s">
        <v>190</v>
      </c>
      <c r="C26" s="371"/>
      <c r="D26" s="371"/>
      <c r="E26" s="372" t="s">
        <v>191</v>
      </c>
      <c r="F26" s="373"/>
      <c r="H26" s="374" t="s">
        <v>192</v>
      </c>
      <c r="I26" s="374"/>
      <c r="J26" s="375"/>
      <c r="K26" s="375"/>
      <c r="L26" s="375"/>
      <c r="M26" s="375"/>
    </row>
    <row r="28" spans="8:10" ht="30" customHeight="1">
      <c r="H28" s="376" t="s">
        <v>193</v>
      </c>
      <c r="I28" s="376"/>
      <c r="J28" s="376"/>
    </row>
  </sheetData>
  <sheetProtection password="FBC5" sheet="1" selectLockedCells="1"/>
  <mergeCells count="13">
    <mergeCell ref="B1:Q1"/>
    <mergeCell ref="P4:R4"/>
    <mergeCell ref="B5:F5"/>
    <mergeCell ref="I23:K23"/>
    <mergeCell ref="L23:M23"/>
    <mergeCell ref="I24:K24"/>
    <mergeCell ref="L24:M24"/>
    <mergeCell ref="I25:K25"/>
    <mergeCell ref="L25:M25"/>
    <mergeCell ref="C26:D26"/>
    <mergeCell ref="H26:I26"/>
    <mergeCell ref="J26:M26"/>
    <mergeCell ref="H28:J28"/>
  </mergeCells>
  <conditionalFormatting sqref="D18">
    <cfRule type="cellIs" priority="1" dxfId="0" operator="lessThanOrEqual" stopIfTrue="1">
      <formula>2300</formula>
    </cfRule>
    <cfRule type="cellIs" priority="2" dxfId="1" operator="greaterThan" stopIfTrue="1">
      <formula>2300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</dc:creator>
  <cp:keywords/>
  <dc:description/>
  <cp:lastModifiedBy/>
  <cp:lastPrinted>2007-08-20T16:44:18Z</cp:lastPrinted>
  <dcterms:created xsi:type="dcterms:W3CDTF">1998-12-27T20:27:20Z</dcterms:created>
  <dcterms:modified xsi:type="dcterms:W3CDTF">2016-09-29T21:08:04Z</dcterms:modified>
  <cp:category/>
  <cp:version/>
  <cp:contentType/>
  <cp:contentStatus/>
  <cp:revision>12</cp:revision>
</cp:coreProperties>
</file>